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LBACETE\"/>
    </mc:Choice>
  </mc:AlternateContent>
  <workbookProtection workbookAlgorithmName="SHA-512" workbookHashValue="DYuO3a9X9EuOgZrgG1jAvF0bDI8PGX89OPwh/gGB8lf61occJRjMbboKxk/gijNG+RWwCPt8o0zqT/PQIJKucg==" workbookSaltValue="uOgDIO3eli8H9eCoCCuAo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V19" i="19" l="1"/>
  <c r="EW19" i="19"/>
  <c r="EW19" i="8"/>
  <c r="AW13" i="11"/>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8" i="17" s="1"/>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Z13" i="17" s="1"/>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F16" i="17" s="1"/>
  <c r="AA15" i="17"/>
  <c r="AF17" i="16"/>
  <c r="AF16" i="16"/>
  <c r="AF15" i="16"/>
  <c r="Y16" i="17"/>
  <c r="Y17" i="17"/>
  <c r="Y15" i="17"/>
  <c r="AB17" i="16"/>
  <c r="F17" i="16" s="1"/>
  <c r="BL17" i="16" s="1"/>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D12" i="13" s="1"/>
  <c r="BA11" i="13"/>
  <c r="AZ12" i="13"/>
  <c r="AZ11" i="13"/>
  <c r="AY12" i="13"/>
  <c r="BG12" i="13" s="1"/>
  <c r="AY11" i="13"/>
  <c r="BG11" i="13" s="1"/>
  <c r="BB9" i="13"/>
  <c r="BA9" i="13"/>
  <c r="AY9" i="13"/>
  <c r="BC12" i="13"/>
  <c r="BC11" i="13"/>
  <c r="BC10" i="13"/>
  <c r="BC13" i="13" s="1"/>
  <c r="BB10" i="13"/>
  <c r="BA10" i="13"/>
  <c r="AZ10" i="13"/>
  <c r="AY10" i="13"/>
  <c r="BC9" i="13"/>
  <c r="BC17" i="13"/>
  <c r="BC18" i="13" s="1"/>
  <c r="BB17" i="13"/>
  <c r="BB18" i="13" s="1"/>
  <c r="BA17" i="13"/>
  <c r="BD17" i="13" s="1"/>
  <c r="AZ17" i="13"/>
  <c r="AY17" i="13"/>
  <c r="BC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M19" i="8" s="1"/>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J19" i="8" s="1"/>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Y11" i="11" s="1"/>
  <c r="W12" i="11"/>
  <c r="W15" i="11"/>
  <c r="Y15" i="11" s="1"/>
  <c r="W16" i="11"/>
  <c r="W17" i="11"/>
  <c r="Y17" i="11" s="1"/>
  <c r="I15" i="2"/>
  <c r="I16" i="2"/>
  <c r="I17" i="2"/>
  <c r="G15" i="2"/>
  <c r="G16" i="2"/>
  <c r="G17" i="2"/>
  <c r="E15" i="2"/>
  <c r="E16" i="2"/>
  <c r="E17" i="2"/>
  <c r="C16" i="2"/>
  <c r="D16" i="2" s="1"/>
  <c r="C17" i="2"/>
  <c r="D17" i="2" s="1"/>
  <c r="I9" i="2"/>
  <c r="I10" i="2"/>
  <c r="I11" i="2"/>
  <c r="I12" i="2"/>
  <c r="L12" i="14" s="1"/>
  <c r="C10" i="2"/>
  <c r="D10" i="2" s="1"/>
  <c r="C11" i="2"/>
  <c r="D11" i="2" s="1"/>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AY16" i="8"/>
  <c r="BB15" i="8"/>
  <c r="BA15" i="8"/>
  <c r="BF15" i="8" s="1"/>
  <c r="AZ15" i="8"/>
  <c r="AY15" i="8"/>
  <c r="BB12" i="8"/>
  <c r="BA12" i="8"/>
  <c r="BD12" i="8" s="1"/>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C19" i="3"/>
  <c r="AZ13" i="13"/>
  <c r="AP13" i="17"/>
  <c r="BD17" i="8"/>
  <c r="BF17" i="8"/>
  <c r="AB19" i="19"/>
  <c r="BF9" i="13"/>
  <c r="E18" i="12"/>
  <c r="ER19" i="8"/>
  <c r="EL19" i="8"/>
  <c r="EQ19" i="8"/>
  <c r="AP12" i="11"/>
  <c r="AT18" i="17"/>
  <c r="N10" i="11"/>
  <c r="N9" i="11"/>
  <c r="T10" i="21"/>
  <c r="F10" i="10"/>
  <c r="N11" i="11"/>
  <c r="ES19" i="8"/>
  <c r="C18" i="7"/>
  <c r="S19" i="13"/>
  <c r="AG19" i="19"/>
  <c r="CI19" i="8"/>
  <c r="AE19" i="8"/>
  <c r="EP19" i="8"/>
  <c r="ER19" i="13"/>
  <c r="AL13" i="16"/>
  <c r="S13" i="16"/>
  <c r="H18" i="16"/>
  <c r="P13" i="16"/>
  <c r="AN13" i="20"/>
  <c r="F15" i="17"/>
  <c r="F17" i="17"/>
  <c r="AQ17" i="17" s="1"/>
  <c r="M13" i="2"/>
  <c r="AC10" i="11"/>
  <c r="H13" i="12"/>
  <c r="T19" i="8"/>
  <c r="T13" i="12"/>
  <c r="S19" i="8"/>
  <c r="AY18" i="8"/>
  <c r="AZ18" i="13"/>
  <c r="BA13" i="8"/>
  <c r="AV18" i="17"/>
  <c r="J18" i="17"/>
  <c r="T13" i="16"/>
  <c r="AP13" i="16"/>
  <c r="F11" i="11"/>
  <c r="AQ11" i="11" s="1"/>
  <c r="BF15" i="13"/>
  <c r="BG15" i="13"/>
  <c r="BA18" i="13"/>
  <c r="BF16" i="13"/>
  <c r="O16" i="11"/>
  <c r="T20" i="20"/>
  <c r="I20" i="20"/>
  <c r="AD20" i="20"/>
  <c r="M20" i="20"/>
  <c r="W20" i="21"/>
  <c r="W20" i="20"/>
  <c r="AI20" i="20"/>
  <c r="AG20" i="20"/>
  <c r="AU20" i="20"/>
  <c r="Y20" i="20"/>
  <c r="O20" i="20"/>
  <c r="AH20" i="20"/>
  <c r="Q20" i="20"/>
  <c r="H20" i="20"/>
  <c r="N20" i="20"/>
  <c r="U12" i="11"/>
  <c r="R20" i="20"/>
  <c r="T20" i="21"/>
  <c r="AV20" i="20"/>
  <c r="AX20" i="20"/>
  <c r="AO20" i="20"/>
  <c r="X20" i="20"/>
  <c r="Z20" i="20"/>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BG15" i="8" l="1"/>
  <c r="Y19" i="8"/>
  <c r="AW18" i="21"/>
  <c r="B18" i="2"/>
  <c r="AC11" i="11"/>
  <c r="BG10" i="8"/>
  <c r="AB19" i="8"/>
  <c r="Z19" i="8"/>
  <c r="F9" i="11"/>
  <c r="B9" i="6"/>
  <c r="F9" i="2"/>
  <c r="B12" i="6"/>
  <c r="AL10" i="11"/>
  <c r="C17" i="6"/>
  <c r="H12" i="7"/>
  <c r="C11" i="6"/>
  <c r="B17" i="6"/>
  <c r="AO16" i="11"/>
  <c r="M18" i="2"/>
  <c r="M19" i="2" s="1"/>
  <c r="N13" i="2"/>
  <c r="N18" i="2"/>
  <c r="H12" i="2"/>
  <c r="BE12" i="13"/>
  <c r="E11" i="6"/>
  <c r="AO9" i="11"/>
  <c r="AL11" i="11"/>
  <c r="D11" i="12"/>
  <c r="BF11" i="8"/>
  <c r="BF9" i="8"/>
  <c r="BG9" i="8"/>
  <c r="K9" i="7" s="1"/>
  <c r="BE9" i="8"/>
  <c r="BD11" i="8"/>
  <c r="BE11" i="8"/>
  <c r="BG12" i="8"/>
  <c r="K12" i="7" s="1"/>
  <c r="BE12" i="8"/>
  <c r="BD15" i="8"/>
  <c r="H15" i="7" s="1"/>
  <c r="BE15" i="8"/>
  <c r="I15" i="7" s="1"/>
  <c r="BG16" i="8"/>
  <c r="C10" i="6"/>
  <c r="L11" i="14"/>
  <c r="E18" i="2"/>
  <c r="AO17" i="11"/>
  <c r="AL15" i="11"/>
  <c r="L16" i="14"/>
  <c r="F15" i="11"/>
  <c r="AQ15" i="11" s="1"/>
  <c r="H15" i="2"/>
  <c r="E15" i="6"/>
  <c r="B16" i="6"/>
  <c r="D12" i="12"/>
  <c r="F12" i="11"/>
  <c r="AQ12" i="11" s="1"/>
  <c r="E9" i="6"/>
  <c r="AY13" i="8"/>
  <c r="AY19" i="8" s="1"/>
  <c r="AO12" i="11"/>
  <c r="I11" i="7"/>
  <c r="AY13" i="13"/>
  <c r="BE9" i="13"/>
  <c r="BB13" i="13"/>
  <c r="S16" i="14"/>
  <c r="V16" i="14" s="1"/>
  <c r="R8" i="9"/>
  <c r="AP16" i="20"/>
  <c r="V15" i="11"/>
  <c r="BH15" i="11"/>
  <c r="Q17" i="20"/>
  <c r="BF17" i="11"/>
  <c r="S17" i="16"/>
  <c r="X11" i="17"/>
  <c r="S9" i="17"/>
  <c r="BI10" i="11"/>
  <c r="S9" i="14"/>
  <c r="V9" i="14" s="1"/>
  <c r="BJ11" i="11"/>
  <c r="BI17" i="11"/>
  <c r="BL11" i="11"/>
  <c r="BM15" i="11"/>
  <c r="T15" i="16"/>
  <c r="BW9" i="20"/>
  <c r="BV16" i="16"/>
  <c r="BV15" i="16"/>
  <c r="BU9" i="17"/>
  <c r="BU17" i="17"/>
  <c r="BV9" i="16"/>
  <c r="AZ12" i="11"/>
  <c r="T15" i="11"/>
  <c r="S15" i="16"/>
  <c r="BF12" i="11"/>
  <c r="BL10" i="11"/>
  <c r="Q15" i="17"/>
  <c r="BF15" i="11"/>
  <c r="AQ12" i="21"/>
  <c r="BL16" i="11"/>
  <c r="L15" i="2"/>
  <c r="V9" i="16"/>
  <c r="AA10" i="16"/>
  <c r="X13" i="20"/>
  <c r="X17" i="20"/>
  <c r="AA12" i="21"/>
  <c r="V17" i="16"/>
  <c r="S15" i="17"/>
  <c r="L11" i="2"/>
  <c r="X9" i="16"/>
  <c r="X19" i="16" s="1"/>
  <c r="X15" i="16"/>
  <c r="X18" i="16" s="1"/>
  <c r="S17" i="14"/>
  <c r="V17" i="14" s="1"/>
  <c r="V18" i="14" s="1"/>
  <c r="R17" i="14"/>
  <c r="R18" i="14" s="1"/>
  <c r="T12" i="11"/>
  <c r="T17" i="11"/>
  <c r="X10" i="17"/>
  <c r="AA11" i="16"/>
  <c r="V10" i="16"/>
  <c r="AZ11" i="11"/>
  <c r="X10" i="21"/>
  <c r="S16" i="17"/>
  <c r="AU18" i="21"/>
  <c r="L19" i="21"/>
  <c r="BD18" i="19"/>
  <c r="AC19" i="13"/>
  <c r="BA13" i="13"/>
  <c r="BD13" i="13" s="1"/>
  <c r="BE11" i="13"/>
  <c r="BG10" i="13"/>
  <c r="BE17" i="13"/>
  <c r="F17" i="11"/>
  <c r="AQ17" i="11" s="1"/>
  <c r="AM15" i="11"/>
  <c r="E12" i="6"/>
  <c r="C12" i="6"/>
  <c r="I12" i="12" s="1"/>
  <c r="AL12" i="11"/>
  <c r="C18" i="2"/>
  <c r="D18" i="2" s="1"/>
  <c r="G18" i="12"/>
  <c r="E16" i="6"/>
  <c r="K16" i="12" s="1"/>
  <c r="C15" i="6"/>
  <c r="I15" i="12" s="1"/>
  <c r="B15" i="6"/>
  <c r="G15" i="3"/>
  <c r="I12" i="3"/>
  <c r="E12" i="3"/>
  <c r="E10" i="3"/>
  <c r="AM11" i="11"/>
  <c r="L9" i="14"/>
  <c r="AO11" i="11"/>
  <c r="AL17" i="11"/>
  <c r="F15" i="2"/>
  <c r="AL16" i="11"/>
  <c r="AO17" i="17"/>
  <c r="L15" i="14"/>
  <c r="AR13" i="21"/>
  <c r="E13" i="17"/>
  <c r="W13" i="17"/>
  <c r="I9" i="7"/>
  <c r="H9" i="7"/>
  <c r="K15" i="7"/>
  <c r="I18" i="2"/>
  <c r="G18" i="2"/>
  <c r="L17" i="14"/>
  <c r="H11" i="7"/>
  <c r="B11" i="6"/>
  <c r="AL9" i="11"/>
  <c r="AO15" i="17"/>
  <c r="AO15" i="11"/>
  <c r="C16" i="6"/>
  <c r="BI16" i="16"/>
  <c r="H17" i="7"/>
  <c r="AN11" i="11"/>
  <c r="D9" i="6"/>
  <c r="J9" i="12" s="1"/>
  <c r="I12" i="7"/>
  <c r="C9" i="6"/>
  <c r="I9" i="12" s="1"/>
  <c r="AQ15" i="17"/>
  <c r="AC19" i="17"/>
  <c r="AE13" i="17"/>
  <c r="AN19" i="13"/>
  <c r="X19" i="13"/>
  <c r="BH19" i="13"/>
  <c r="AC19" i="8"/>
  <c r="AC12" i="11"/>
  <c r="AB13" i="21"/>
  <c r="AB21" i="21" s="1"/>
  <c r="C15" i="14"/>
  <c r="K15" i="14" s="1"/>
  <c r="E9" i="12"/>
  <c r="Y10" i="11"/>
  <c r="Y13" i="11" s="1"/>
  <c r="Y12" i="11"/>
  <c r="J9" i="7"/>
  <c r="J15" i="7"/>
  <c r="F17" i="2"/>
  <c r="J15" i="2"/>
  <c r="BF18" i="19"/>
  <c r="AS13" i="21"/>
  <c r="AO18" i="20"/>
  <c r="AL19" i="16"/>
  <c r="AJ13" i="16"/>
  <c r="AJ19" i="16" s="1"/>
  <c r="AM19" i="13"/>
  <c r="W19" i="13"/>
  <c r="U19" i="13"/>
  <c r="Q19" i="13"/>
  <c r="V19" i="13"/>
  <c r="BD11" i="13"/>
  <c r="AN15" i="11"/>
  <c r="D15" i="6"/>
  <c r="J15" i="12" s="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BL11" i="16" s="1"/>
  <c r="F15" i="16"/>
  <c r="BL15" i="16" s="1"/>
  <c r="G12" i="12"/>
  <c r="E12" i="12"/>
  <c r="G9" i="12"/>
  <c r="D9" i="12"/>
  <c r="F9" i="12"/>
  <c r="AG13" i="11"/>
  <c r="D13" i="5"/>
  <c r="J17" i="7"/>
  <c r="J11" i="7"/>
  <c r="AN17" i="11"/>
  <c r="I16" i="3"/>
  <c r="E16" i="3"/>
  <c r="BB19" i="19"/>
  <c r="AO13" i="20"/>
  <c r="AR13" i="20"/>
  <c r="AF13" i="21"/>
  <c r="AF19" i="21" s="1"/>
  <c r="P19" i="19"/>
  <c r="V19" i="19"/>
  <c r="AD19" i="19"/>
  <c r="S18" i="16"/>
  <c r="S19" i="16" s="1"/>
  <c r="BC19" i="13"/>
  <c r="BG9" i="13"/>
  <c r="AB19" i="13"/>
  <c r="BK19" i="13"/>
  <c r="AQ19" i="13"/>
  <c r="AA19" i="13"/>
  <c r="BF18" i="13"/>
  <c r="J12" i="7"/>
  <c r="AN12" i="11"/>
  <c r="H17" i="2"/>
  <c r="AI19" i="8"/>
  <c r="W19" i="8"/>
  <c r="BD16" i="8"/>
  <c r="H16" i="7" s="1"/>
  <c r="AX21" i="11"/>
  <c r="E11" i="12"/>
  <c r="AH19" i="8"/>
  <c r="AG19" i="8"/>
  <c r="U19" i="8"/>
  <c r="BG17" i="8"/>
  <c r="K17" i="7" s="1"/>
  <c r="J12" i="2"/>
  <c r="H11" i="2"/>
  <c r="H9" i="2"/>
  <c r="BE17" i="8"/>
  <c r="I17" i="7" s="1"/>
  <c r="N12" i="11"/>
  <c r="AT19" i="8"/>
  <c r="L18" i="11"/>
  <c r="I15" i="10"/>
  <c r="K15" i="10" s="1"/>
  <c r="I9" i="10"/>
  <c r="K9" i="10" s="1"/>
  <c r="AN9" i="11"/>
  <c r="K16" i="7"/>
  <c r="AE19" i="21"/>
  <c r="T13" i="20"/>
  <c r="AP13" i="20"/>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I19" i="8"/>
  <c r="AS19" i="8"/>
  <c r="K13" i="17"/>
  <c r="J13" i="17"/>
  <c r="K18" i="17"/>
  <c r="AF13" i="17"/>
  <c r="AX21" i="17"/>
  <c r="AQ10" i="17"/>
  <c r="H19" i="21"/>
  <c r="F12" i="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F12" i="12"/>
  <c r="AI13" i="11"/>
  <c r="AI19" i="11" s="1"/>
  <c r="AU13" i="11"/>
  <c r="AP17" i="11"/>
  <c r="AT13" i="11"/>
  <c r="AV18" i="11"/>
  <c r="R13" i="11"/>
  <c r="Z13" i="11"/>
  <c r="AD13" i="11"/>
  <c r="AF18" i="11"/>
  <c r="AF13" i="11"/>
  <c r="I13" i="11"/>
  <c r="I19" i="11" s="1"/>
  <c r="J18" i="11"/>
  <c r="AC15" i="11"/>
  <c r="AS13" i="11"/>
  <c r="AS18" i="11"/>
  <c r="E13" i="11"/>
  <c r="AH18" i="11"/>
  <c r="S13" i="1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H19" i="16"/>
  <c r="AB13" i="16"/>
  <c r="BD13" i="16"/>
  <c r="K19" i="13"/>
  <c r="D13" i="14"/>
  <c r="G13" i="11"/>
  <c r="D13" i="12" s="1"/>
  <c r="C13" i="2"/>
  <c r="G13" i="17"/>
  <c r="BH13" i="16"/>
  <c r="E13" i="7"/>
  <c r="AA13" i="17"/>
  <c r="BG13" i="16"/>
  <c r="G13" i="7"/>
  <c r="K13" i="2"/>
  <c r="T13" i="17"/>
  <c r="BG18" i="16"/>
  <c r="F18" i="12"/>
  <c r="AP18" i="21"/>
  <c r="D18" i="14"/>
  <c r="G18" i="11"/>
  <c r="G21" i="11" s="1"/>
  <c r="W13" i="11"/>
  <c r="F13" i="12" s="1"/>
  <c r="D18" i="3"/>
  <c r="E18" i="3" s="1"/>
  <c r="AL18" i="11"/>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S18" i="16"/>
  <c r="AD13" i="16"/>
  <c r="AD19" i="16" s="1"/>
  <c r="Q13" i="16"/>
  <c r="X13" i="16"/>
  <c r="AS18" i="16"/>
  <c r="AZ13" i="16"/>
  <c r="AN19" i="16"/>
  <c r="AW19" i="11"/>
  <c r="AC16" i="11"/>
  <c r="K13" i="11"/>
  <c r="N18"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AJ18" i="11"/>
  <c r="D18" i="5"/>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N19" i="21"/>
  <c r="K19" i="19"/>
  <c r="AO19" i="20" s="1"/>
  <c r="O19" i="19"/>
  <c r="W19" i="19"/>
  <c r="AE19" i="19"/>
  <c r="BH19" i="19"/>
  <c r="BC21" i="20"/>
  <c r="AC13" i="21"/>
  <c r="AC21" i="21" s="1"/>
  <c r="AS13" i="20"/>
  <c r="I18" i="20"/>
  <c r="I19" i="20" s="1"/>
  <c r="BC19" i="21"/>
  <c r="AZ19" i="19"/>
  <c r="AD13" i="21"/>
  <c r="AD19" i="21" s="1"/>
  <c r="Z13" i="21"/>
  <c r="AK21" i="20"/>
  <c r="AJ13" i="21"/>
  <c r="CI19" i="19"/>
  <c r="AR19" i="20" s="1"/>
  <c r="EN19" i="19"/>
  <c r="AM18" i="20"/>
  <c r="AM21" i="20" s="1"/>
  <c r="EQ19" i="19"/>
  <c r="U18" i="20"/>
  <c r="AH19" i="19"/>
  <c r="AH18" i="20"/>
  <c r="AH19" i="20" s="1"/>
  <c r="BG18" i="19"/>
  <c r="I13" i="21"/>
  <c r="I19" i="21" s="1"/>
  <c r="EO19" i="19"/>
  <c r="C11" i="14"/>
  <c r="K11" i="14" s="1"/>
  <c r="S13" i="21"/>
  <c r="S19" i="21" s="1"/>
  <c r="AE18" i="11"/>
  <c r="AJ13" i="11"/>
  <c r="F18" i="14"/>
  <c r="AO19" i="16"/>
  <c r="E18" i="14"/>
  <c r="F13" i="14"/>
  <c r="J19" i="8"/>
  <c r="C9" i="14"/>
  <c r="AQ9" i="11"/>
  <c r="BC18" i="8"/>
  <c r="AZ18" i="8"/>
  <c r="BE18" i="13"/>
  <c r="AQ16" i="17"/>
  <c r="AY21" i="21"/>
  <c r="AG18" i="11"/>
  <c r="AK18" i="11"/>
  <c r="E13" i="14"/>
  <c r="O19" i="16"/>
  <c r="AS16" i="20"/>
  <c r="AQ19" i="20"/>
  <c r="D11" i="6"/>
  <c r="J11" i="12" s="1"/>
  <c r="E11" i="3"/>
  <c r="R15" i="14"/>
  <c r="AM17" i="11"/>
  <c r="BG17" i="11"/>
  <c r="P19" i="8"/>
  <c r="AO11" i="17"/>
  <c r="AQ18" i="21"/>
  <c r="BG11" i="11"/>
  <c r="BJ9" i="11"/>
  <c r="BA19" i="19"/>
  <c r="BG19" i="19" s="1"/>
  <c r="BD13" i="19"/>
  <c r="BF13" i="19"/>
  <c r="AD19" i="8"/>
  <c r="V19" i="8"/>
  <c r="U16" i="21"/>
  <c r="U18" i="21" s="1"/>
  <c r="V16" i="20"/>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U17" i="11"/>
  <c r="O10" i="11"/>
  <c r="BR20" i="16"/>
  <c r="AU20" i="17"/>
  <c r="BP20" i="16"/>
  <c r="O17" i="11"/>
  <c r="AW20" i="11"/>
  <c r="AV20" i="21"/>
  <c r="H20" i="17"/>
  <c r="AX20" i="21"/>
  <c r="I17" i="12" l="1"/>
  <c r="B18" i="6"/>
  <c r="F18" i="2"/>
  <c r="J18" i="2"/>
  <c r="F18" i="11"/>
  <c r="D19" i="5"/>
  <c r="I11" i="12"/>
  <c r="B19" i="7"/>
  <c r="D19" i="12"/>
  <c r="F19" i="7"/>
  <c r="I10" i="12"/>
  <c r="K9" i="12"/>
  <c r="H13" i="2"/>
  <c r="N19" i="2"/>
  <c r="K12" i="12"/>
  <c r="BE13" i="13"/>
  <c r="BG13" i="13"/>
  <c r="F18" i="20"/>
  <c r="F21" i="20" s="1"/>
  <c r="C18" i="6"/>
  <c r="BB19" i="13"/>
  <c r="BF13" i="13"/>
  <c r="AM13" i="11"/>
  <c r="Q18" i="20"/>
  <c r="Q19" i="20" s="1"/>
  <c r="BF11" i="11"/>
  <c r="BL9" i="11"/>
  <c r="BG10" i="11"/>
  <c r="P17" i="17"/>
  <c r="BK12" i="11"/>
  <c r="BK9" i="11"/>
  <c r="AO12" i="17"/>
  <c r="X9" i="17"/>
  <c r="BM12" i="11"/>
  <c r="V9" i="11"/>
  <c r="BJ15" i="11"/>
  <c r="AP15" i="20"/>
  <c r="R17" i="20"/>
  <c r="AZ9" i="11"/>
  <c r="AZ15" i="11"/>
  <c r="AZ18" i="11" s="1"/>
  <c r="BV17" i="16"/>
  <c r="BV18" i="16" s="1"/>
  <c r="BV12" i="16"/>
  <c r="BV11" i="16"/>
  <c r="U10" i="17"/>
  <c r="S11" i="17"/>
  <c r="AA16" i="16"/>
  <c r="X15" i="17"/>
  <c r="T16" i="11"/>
  <c r="Q17" i="17"/>
  <c r="Q18" i="17" s="1"/>
  <c r="Q19" i="17" s="1"/>
  <c r="BI9" i="11"/>
  <c r="BJ10" i="11"/>
  <c r="BH11" i="11"/>
  <c r="S17" i="17"/>
  <c r="BH12" i="16"/>
  <c r="X12" i="17"/>
  <c r="L12" i="2"/>
  <c r="T9" i="11"/>
  <c r="BH11" i="16"/>
  <c r="BH17" i="16"/>
  <c r="BM16" i="11"/>
  <c r="BL17" i="11"/>
  <c r="BF10" i="11"/>
  <c r="Q10" i="11" s="1"/>
  <c r="R12" i="14"/>
  <c r="R13" i="14" s="1"/>
  <c r="V12" i="21"/>
  <c r="BK11" i="11"/>
  <c r="AP10" i="21"/>
  <c r="BH9" i="11"/>
  <c r="BH13" i="11" s="1"/>
  <c r="AO16" i="17"/>
  <c r="BJ12" i="11"/>
  <c r="BG15" i="11"/>
  <c r="BK17" i="11"/>
  <c r="AP17" i="20"/>
  <c r="BU11" i="17"/>
  <c r="BU10" i="17"/>
  <c r="BW12" i="20"/>
  <c r="BW11" i="20"/>
  <c r="BW10" i="20"/>
  <c r="BU12" i="17"/>
  <c r="AA15" i="16"/>
  <c r="S11" i="14"/>
  <c r="V11" i="14" s="1"/>
  <c r="BG12" i="11"/>
  <c r="P12" i="11" s="1"/>
  <c r="BH10" i="11"/>
  <c r="AQ10" i="21"/>
  <c r="BK16" i="11"/>
  <c r="BG16" i="11"/>
  <c r="BM9" i="11"/>
  <c r="BK10" i="11"/>
  <c r="U9" i="17"/>
  <c r="S12" i="14"/>
  <c r="R16" i="14"/>
  <c r="X12" i="21"/>
  <c r="X19" i="21" s="1"/>
  <c r="BH9" i="16"/>
  <c r="BJ17" i="11"/>
  <c r="BH15" i="16"/>
  <c r="V11" i="16"/>
  <c r="BF16" i="11"/>
  <c r="BL12" i="11"/>
  <c r="BK15" i="11"/>
  <c r="V11" i="11"/>
  <c r="Q10" i="21"/>
  <c r="Q13" i="21" s="1"/>
  <c r="Q19" i="21" s="1"/>
  <c r="BI15" i="11"/>
  <c r="R10" i="21"/>
  <c r="R13" i="21" s="1"/>
  <c r="R19" i="21" s="1"/>
  <c r="BG9" i="11"/>
  <c r="BH17" i="11"/>
  <c r="T17" i="16"/>
  <c r="T18" i="16" s="1"/>
  <c r="T19" i="16" s="1"/>
  <c r="BU15" i="17"/>
  <c r="BW17" i="20"/>
  <c r="BW16" i="20"/>
  <c r="BW15" i="20"/>
  <c r="BV10" i="16"/>
  <c r="BU16" i="17"/>
  <c r="AZ16" i="11"/>
  <c r="R10" i="14"/>
  <c r="X17" i="17"/>
  <c r="P15" i="17"/>
  <c r="P18" i="17" s="1"/>
  <c r="P19" i="17" s="1"/>
  <c r="BL15" i="11"/>
  <c r="Q15" i="11" s="1"/>
  <c r="BH10" i="16"/>
  <c r="BM17" i="11"/>
  <c r="BH16" i="11"/>
  <c r="BJ16" i="11"/>
  <c r="L10" i="2"/>
  <c r="L16" i="2"/>
  <c r="S15" i="14"/>
  <c r="V15" i="14" s="1"/>
  <c r="AA17" i="16"/>
  <c r="T17" i="20"/>
  <c r="U10" i="21"/>
  <c r="X16" i="20"/>
  <c r="S10" i="17"/>
  <c r="L9" i="2"/>
  <c r="L17" i="2"/>
  <c r="V15" i="20"/>
  <c r="S10" i="14"/>
  <c r="V10" i="14" s="1"/>
  <c r="R11" i="14"/>
  <c r="AM9" i="11"/>
  <c r="T11" i="11"/>
  <c r="X16" i="17"/>
  <c r="AA9" i="16"/>
  <c r="V15" i="16"/>
  <c r="V12" i="16"/>
  <c r="AZ17" i="11"/>
  <c r="X12" i="16"/>
  <c r="AM16" i="11"/>
  <c r="AM12" i="11"/>
  <c r="AO9" i="17"/>
  <c r="AQ13" i="21"/>
  <c r="X16" i="16"/>
  <c r="BH18" i="16"/>
  <c r="U12" i="17"/>
  <c r="AZ10" i="11"/>
  <c r="BH16" i="16"/>
  <c r="BI16" i="11"/>
  <c r="BI18" i="11" s="1"/>
  <c r="BI11" i="11"/>
  <c r="T10" i="11"/>
  <c r="AM10" i="11"/>
  <c r="BI12" i="11"/>
  <c r="V17" i="20"/>
  <c r="U15" i="17"/>
  <c r="U18" i="17" s="1"/>
  <c r="V10" i="21"/>
  <c r="V13" i="21" s="1"/>
  <c r="V19" i="21" s="1"/>
  <c r="Q18" i="11"/>
  <c r="T13" i="11"/>
  <c r="X13" i="17"/>
  <c r="AT12" i="21"/>
  <c r="AL19" i="21"/>
  <c r="AB19" i="21"/>
  <c r="J21" i="20"/>
  <c r="J21" i="17"/>
  <c r="AM18" i="11"/>
  <c r="BE21" i="21"/>
  <c r="K19" i="21"/>
  <c r="AC13" i="11"/>
  <c r="B13" i="6"/>
  <c r="K19" i="2"/>
  <c r="D21" i="12"/>
  <c r="F13" i="2"/>
  <c r="BI18" i="16"/>
  <c r="AO18" i="17"/>
  <c r="H18" i="2"/>
  <c r="AO18" i="11"/>
  <c r="E18" i="6"/>
  <c r="AS19" i="21"/>
  <c r="E19" i="17"/>
  <c r="AG21" i="17"/>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BV13" i="16" l="1"/>
  <c r="BK18" i="11"/>
  <c r="BW21" i="20"/>
  <c r="BU21" i="17"/>
  <c r="Q12" i="11"/>
  <c r="Q16" i="11"/>
  <c r="P16" i="11"/>
  <c r="U19" i="17"/>
  <c r="U13" i="17"/>
  <c r="R18" i="20"/>
  <c r="R19" i="20" s="1"/>
  <c r="BJ18" i="11"/>
  <c r="BL18" i="11"/>
  <c r="V18" i="20"/>
  <c r="V19" i="20"/>
  <c r="BH18" i="11"/>
  <c r="BH19" i="11" s="1"/>
  <c r="V12" i="14"/>
  <c r="V13" i="14" s="1"/>
  <c r="S13" i="14"/>
  <c r="S19" i="14" s="1"/>
  <c r="P17" i="11"/>
  <c r="AZ13" i="11"/>
  <c r="AZ19" i="11"/>
  <c r="BK13" i="11"/>
  <c r="P9" i="11"/>
  <c r="Q9" i="11"/>
  <c r="P15" i="11"/>
  <c r="BF18" i="11"/>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AO21" i="17"/>
  <c r="BL13" i="11"/>
  <c r="BL19" i="11" s="1"/>
  <c r="J10" i="12"/>
  <c r="A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M19" i="14"/>
  <c r="Z19" i="14"/>
  <c r="W19" i="14"/>
  <c r="AD19" i="14"/>
  <c r="V18" i="11"/>
  <c r="AA19" i="14"/>
  <c r="H19" i="14"/>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X20" i="21"/>
  <c r="AE20" i="11"/>
  <c r="AH20" i="21"/>
  <c r="AB20" i="11"/>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T20" i="16"/>
  <c r="L20" i="16"/>
  <c r="BE20" i="21"/>
  <c r="AR20" i="16"/>
  <c r="AF20" i="11"/>
  <c r="AB20" i="17"/>
  <c r="X20" i="17"/>
  <c r="J20" i="12"/>
  <c r="K20" i="11"/>
  <c r="BJ20" i="16"/>
  <c r="U20" i="20"/>
  <c r="AD20" i="21"/>
  <c r="L20" i="11"/>
  <c r="AP20" i="16"/>
  <c r="AE20" i="21"/>
  <c r="V20" i="20"/>
  <c r="X20" i="16"/>
  <c r="I20" i="11"/>
  <c r="AT20" i="11"/>
  <c r="AV20" i="17"/>
  <c r="AR20" i="17"/>
  <c r="AW20" i="17"/>
  <c r="BN20" i="16"/>
  <c r="BB20" i="16"/>
  <c r="AN20" i="17"/>
  <c r="Q20" i="21"/>
  <c r="P20" i="21"/>
  <c r="BS20" i="16"/>
  <c r="N20" i="21"/>
  <c r="H20" i="16"/>
  <c r="AK20" i="17"/>
  <c r="AT20" i="20"/>
  <c r="I20" i="16"/>
  <c r="F20" i="17"/>
  <c r="AC20" i="11"/>
  <c r="AA20" i="17"/>
  <c r="AO20" i="16"/>
  <c r="AF20" i="16"/>
  <c r="H20" i="11"/>
  <c r="AW20" i="21"/>
  <c r="BH20" i="16"/>
  <c r="S20" i="11"/>
  <c r="J20" i="21"/>
  <c r="W20" i="11"/>
  <c r="BK20" i="16"/>
  <c r="BD20" i="16"/>
  <c r="R20" i="21"/>
  <c r="BI20" i="16"/>
  <c r="J20" i="16"/>
  <c r="T20" i="11"/>
  <c r="AG20" i="11"/>
  <c r="L20" i="17"/>
  <c r="M20" i="16"/>
  <c r="AP20" i="17"/>
  <c r="AL20" i="11"/>
  <c r="AM20" i="21"/>
  <c r="G20" i="12"/>
  <c r="Q20" i="17"/>
  <c r="R20" i="16"/>
  <c r="AO20" i="11"/>
  <c r="N20" i="17"/>
  <c r="AC20" i="17"/>
  <c r="AK20" i="11"/>
  <c r="O20" i="11"/>
  <c r="H20" i="12"/>
  <c r="AU20" i="21"/>
  <c r="AO20" i="17"/>
  <c r="S20" i="17"/>
  <c r="AW20" i="16"/>
  <c r="AP20" i="21"/>
  <c r="AU20" i="11"/>
  <c r="BF20" i="16"/>
  <c r="AA20" i="21"/>
  <c r="O12" i="11"/>
  <c r="I20" i="12"/>
  <c r="BM20" i="16"/>
  <c r="BK19" i="11" l="1"/>
  <c r="BD19" i="8"/>
  <c r="BF19" i="11"/>
  <c r="AQ20" i="11"/>
  <c r="BL20" i="16"/>
  <c r="AP20" i="11"/>
  <c r="AT20" i="21"/>
  <c r="AQ20" i="17"/>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<sst xmlns="http://schemas.openxmlformats.org/spreadsheetml/2006/main" count="2088" uniqueCount="917">
  <si>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</si>
  <si>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</si>
  <si>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</si>
  <si>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</si>
  <si>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</si>
  <si>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</si>
  <si>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</si>
  <si>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</si>
  <si>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</si>
  <si>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</si>
  <si>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</si>
  <si>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</si>
  <si>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</si>
  <si>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</si>
  <si>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</si>
  <si>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</si>
  <si>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</si>
  <si>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</si>
  <si>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</si>
  <si>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</si>
  <si>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</si>
  <si>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</si>
  <si>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</si>
  <si>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</si>
  <si>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</si>
  <si>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</si>
  <si>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</si>
  <si>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</si>
  <si>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</si>
  <si>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</si>
  <si>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</si>
  <si>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</si>
  <si>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</si>
  <si>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</si>
  <si>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</si>
  <si>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</si>
  <si>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</si>
  <si>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</si>
  <si>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</si>
  <si>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</si>
  <si>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</si>
  <si>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</si>
  <si>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</si>
  <si>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</si>
  <si>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</si>
  <si>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</si>
  <si>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</si>
  <si>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</si>
  <si>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</si>
  <si>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</si>
  <si>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</si>
  <si>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</si>
  <si>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</si>
  <si>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</si>
  <si>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</si>
  <si>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</si>
  <si>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</si>
  <si>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</si>
  <si>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</si>
  <si>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</si>
  <si>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</si>
  <si>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</si>
  <si>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</si>
  <si>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</si>
  <si>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</si>
  <si>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</si>
  <si>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</si>
  <si>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</si>
  <si>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</si>
  <si>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</si>
  <si>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</si>
  <si>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</si>
  <si>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</si>
  <si>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</si>
  <si>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</si>
  <si>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</si>
  <si>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</si>
  <si>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</si>
  <si>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</si>
  <si>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</si>
  <si>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</si>
  <si>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</si>
  <si>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</si>
  <si>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</si>
  <si>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</si>
  <si>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</si>
  <si>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</si>
  <si>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</si>
  <si>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</si>
  <si>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</si>
  <si>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</si>
  <si>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</si>
  <si>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</si>
  <si>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</si>
  <si>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</si>
  <si>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</si>
  <si>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</si>
  <si>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</si>
  <si>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</si>
  <si>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</si>
  <si>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</si>
  <si>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</si>
  <si>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</si>
  <si>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</si>
  <si>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</si>
  <si>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</si>
  <si>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</si>
  <si>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</si>
  <si>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</si>
  <si>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</si>
  <si>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</si>
  <si>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</si>
  <si>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</si>
  <si>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</si>
  <si>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</si>
  <si>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</si>
  <si>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</si>
  <si>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</si>
  <si>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</si>
  <si>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</si>
  <si>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</si>
  <si>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</si>
  <si>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</si>
  <si>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</si>
  <si>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</si>
  <si>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</si>
  <si>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</si>
  <si>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</si>
  <si>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</si>
  <si>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</si>
  <si>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</si>
  <si>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</si>
  <si>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</si>
  <si>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</si>
  <si>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</si>
  <si>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</si>
  <si>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</si>
  <si>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</si>
  <si>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</si>
  <si>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</si>
  <si>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</si>
  <si>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</si>
  <si>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</si>
  <si>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</si>
  <si>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</si>
  <si>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</si>
  <si>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</si>
  <si>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</si>
  <si>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</si>
  <si>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</si>
  <si>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</si>
  <si>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</si>
  <si>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</si>
  <si>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</si>
  <si>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</si>
  <si>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</si>
  <si>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</si>
  <si>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</si>
  <si>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</si>
  <si>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</si>
  <si>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</si>
  <si>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</si>
  <si>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</si>
  <si>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</si>
  <si>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</si>
  <si>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</si>
  <si>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</si>
  <si>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</si>
  <si>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</si>
  <si>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</si>
  <si>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</si>
  <si>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</si>
  <si>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</si>
  <si>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</si>
  <si>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</si>
  <si>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</si>
  <si>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</si>
  <si>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</si>
  <si>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</si>
  <si>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</si>
  <si>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</si>
  <si>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</si>
  <si>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</si>
  <si>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</si>
  <si>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</si>
  <si>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</si>
  <si>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</si>
  <si>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</si>
  <si>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</si>
  <si>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</si>
  <si>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</si>
  <si>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</si>
  <si>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</si>
  <si>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</si>
  <si>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</si>
  <si>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</si>
  <si>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</si>
  <si>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</si>
  <si>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</si>
  <si>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</si>
  <si>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</si>
  <si>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</si>
  <si>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</si>
  <si>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</si>
  <si>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</si>
  <si>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</si>
  <si>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</si>
  <si>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</si>
  <si>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</si>
  <si>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</si>
  <si>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</si>
  <si>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</si>
  <si>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</si>
  <si>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</si>
  <si>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</si>
  <si>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</si>
  <si>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</si>
  <si>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</si>
  <si>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</si>
  <si>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</si>
  <si>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</si>
  <si>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</si>
  <si>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</si>
  <si>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</si>
  <si>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</si>
  <si>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</si>
  <si>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</si>
  <si>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</si>
  <si>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</si>
  <si>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</si>
  <si>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</si>
  <si>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</si>
  <si>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</si>
  <si>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</si>
  <si>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</si>
  <si>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</si>
  <si>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</si>
  <si>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</si>
  <si>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</si>
  <si>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</si>
  <si>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</si>
  <si>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</si>
  <si>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</si>
  <si>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</si>
  <si>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</si>
  <si>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</si>
  <si>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</si>
  <si>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</si>
  <si>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</si>
  <si>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</si>
  <si>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</si>
  <si>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</si>
  <si>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</si>
  <si>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</si>
  <si>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</si>
  <si>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</si>
  <si>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</si>
  <si>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</si>
  <si>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</si>
  <si>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</si>
  <si>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</si>
  <si>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</si>
  <si>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</si>
  <si>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</si>
  <si>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</si>
  <si>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</si>
  <si>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</si>
  <si>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</si>
  <si>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</si>
  <si>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</si>
  <si>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</si>
  <si>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</si>
  <si>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</si>
  <si>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</si>
  <si>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</si>
  <si>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</si>
  <si>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</si>
  <si>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</si>
  <si>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</si>
  <si>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</si>
  <si>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</si>
  <si>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</si>
  <si>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</si>
  <si>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</si>
  <si>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</si>
  <si>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</si>
  <si>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</si>
  <si>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</si>
  <si>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</si>
  <si>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</si>
  <si>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</si>
  <si>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</si>
  <si>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</si>
  <si>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</si>
  <si>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</si>
  <si>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</si>
  <si>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</si>
  <si>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</si>
  <si>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</si>
  <si>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</si>
  <si>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</si>
  <si>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</si>
  <si>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</si>
  <si>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</si>
  <si>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</si>
  <si>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</si>
  <si>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</si>
  <si>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</si>
  <si>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</si>
  <si>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</si>
  <si>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</si>
  <si>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</si>
  <si>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</si>
  <si>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</si>
  <si>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</si>
  <si>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</si>
  <si>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</si>
  <si>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</si>
  <si>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</si>
  <si>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</si>
  <si>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</si>
  <si>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</si>
  <si>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</si>
  <si>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</si>
  <si>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</si>
  <si>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</si>
  <si>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</si>
  <si>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</si>
  <si>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</si>
  <si>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</si>
  <si>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</si>
  <si>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</si>
  <si>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</si>
  <si>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</si>
  <si>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</si>
  <si>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</si>
  <si>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</si>
  <si>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</si>
  <si>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</si>
  <si>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</si>
  <si>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</si>
  <si>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</si>
  <si>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</si>
  <si>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</si>
  <si>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</si>
  <si>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</si>
  <si>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</si>
  <si>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</si>
  <si>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</si>
  <si>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</si>
  <si>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</si>
  <si>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</si>
  <si>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</si>
  <si>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</si>
  <si>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</si>
  <si>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</si>
  <si>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</si>
  <si>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</si>
  <si>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</si>
  <si>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</si>
  <si>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</si>
  <si>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</si>
  <si>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</si>
  <si>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</si>
  <si>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</si>
  <si>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</si>
  <si>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</si>
  <si>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</si>
  <si>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</si>
  <si>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</si>
  <si>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</si>
  <si>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</si>
  <si>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</si>
  <si>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</si>
  <si>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</si>
  <si>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</si>
  <si>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</si>
  <si>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</si>
  <si>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</si>
  <si>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</si>
  <si>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</si>
  <si>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</si>
  <si>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</si>
  <si>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</si>
  <si>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</si>
  <si>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</si>
  <si>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</si>
  <si>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</si>
  <si>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</si>
  <si>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</si>
  <si>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</si>
  <si>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</si>
  <si>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</si>
  <si>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</si>
  <si>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</si>
  <si>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</si>
  <si>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</si>
  <si>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</si>
  <si>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</si>
  <si>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</si>
  <si>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</si>
  <si>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</si>
  <si>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</si>
  <si>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</si>
  <si>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</si>
  <si>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</si>
  <si>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</si>
  <si>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</si>
  <si>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</si>
  <si>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</si>
  <si>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</si>
  <si>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</si>
  <si>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</si>
  <si>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</si>
  <si>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</si>
  <si>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</si>
  <si>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</si>
  <si>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</si>
  <si>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</si>
  <si>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</si>
  <si>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</si>
  <si>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</si>
  <si>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</si>
  <si>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</si>
  <si>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</si>
  <si>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</si>
  <si>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</si>
  <si>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</si>
  <si>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</si>
  <si>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</si>
  <si>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</si>
  <si>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</si>
  <si>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</si>
  <si>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</si>
  <si>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</si>
  <si>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</si>
  <si>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</si>
  <si>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</si>
  <si>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</si>
  <si>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</si>
  <si>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</si>
  <si>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</si>
  <si>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</si>
  <si>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</si>
  <si>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</si>
  <si>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</si>
  <si>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</si>
  <si>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</si>
  <si>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</si>
  <si>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</si>
  <si>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</si>
  <si>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</si>
  <si>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</si>
  <si>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</si>
  <si>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</si>
  <si>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</si>
  <si>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</si>
  <si>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</si>
  <si>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</si>
  <si>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</si>
  <si>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</si>
  <si>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</si>
  <si>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</si>
  <si>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</si>
  <si>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</si>
  <si>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</si>
  <si>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</si>
  <si>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</si>
  <si>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</si>
  <si>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</si>
  <si>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</si>
  <si>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</si>
  <si>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</si>
  <si>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</si>
  <si>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</si>
  <si>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</si>
  <si>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</si>
  <si>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</si>
  <si>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</si>
  <si>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</si>
  <si>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</si>
  <si>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</si>
  <si>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</si>
  <si>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</si>
  <si>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</si>
  <si>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</si>
  <si>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</si>
  <si>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</si>
  <si>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</si>
  <si>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</si>
  <si>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</si>
  <si>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</si>
  <si>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</si>
  <si>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</si>
  <si>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</si>
  <si>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</si>
  <si>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</si>
  <si>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</si>
  <si>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</si>
  <si>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</si>
  <si>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</si>
  <si>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</si>
  <si>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</si>
  <si>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</si>
  <si>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</si>
  <si>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</si>
  <si>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</si>
  <si>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</si>
  <si>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</si>
  <si>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</si>
  <si>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</si>
  <si>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</si>
  <si>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</si>
  <si>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</si>
  <si>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</si>
  <si>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</si>
  <si>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</si>
  <si>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</si>
  <si>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</si>
  <si>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</si>
  <si>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</si>
  <si>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</si>
  <si>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</si>
  <si>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</si>
  <si>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</si>
  <si>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</si>
  <si>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</si>
  <si>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</si>
  <si>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</si>
  <si>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</si>
  <si>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</si>
  <si>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</si>
  <si>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</si>
  <si>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</si>
  <si>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</si>
  <si>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</si>
  <si>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</si>
  <si>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</si>
  <si>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</si>
  <si>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</si>
  <si>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</si>
  <si>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</si>
  <si>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</si>
  <si>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</si>
  <si>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</si>
  <si>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</si>
  <si>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</si>
  <si>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</si>
  <si>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</si>
  <si>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</si>
  <si>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</si>
  <si>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</si>
  <si>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</si>
  <si>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</si>
  <si>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</si>
  <si>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</si>
  <si>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</si>
  <si>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</si>
  <si>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</si>
  <si>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</si>
  <si>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</si>
  <si>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</si>
  <si>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</si>
  <si>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</si>
  <si>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</si>
  <si>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</si>
  <si>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</si>
  <si>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</si>
  <si>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</si>
  <si>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</si>
  <si>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</si>
  <si>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</si>
  <si>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</si>
  <si>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</si>
  <si>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</si>
  <si>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</si>
  <si>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</si>
  <si>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</si>
  <si>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</si>
  <si>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</si>
  <si>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</si>
  <si>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</si>
  <si>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</si>
  <si>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</si>
  <si>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</si>
  <si>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</si>
  <si>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</si>
  <si>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</si>
  <si>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</si>
  <si>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</si>
  <si>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</si>
  <si>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</si>
  <si>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</si>
  <si>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</si>
  <si>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</si>
  <si>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</si>
  <si>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</si>
  <si>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</si>
  <si>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</si>
  <si>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</si>
  <si>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</si>
  <si>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</si>
  <si>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</si>
  <si>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</si>
  <si>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</si>
  <si>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</si>
  <si>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</si>
  <si>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</si>
  <si>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</si>
  <si>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</si>
  <si>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</si>
  <si>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</si>
  <si>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</si>
  <si>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</si>
  <si>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</si>
  <si>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</si>
  <si>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</si>
  <si>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</si>
  <si>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</si>
  <si>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</si>
  <si>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</si>
  <si>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</si>
  <si>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</si>
  <si>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</si>
  <si>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</si>
  <si>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</si>
  <si>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</si>
  <si>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</si>
  <si>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</si>
  <si>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</si>
  <si>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</si>
  <si>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</si>
  <si>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</si>
  <si>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</si>
  <si>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</si>
  <si>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</si>
  <si>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</si>
  <si>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</si>
  <si>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</si>
  <si>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</si>
  <si>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</si>
  <si>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</si>
  <si>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</si>
  <si>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</si>
  <si>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</si>
  <si>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</si>
  <si>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</si>
  <si>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</si>
  <si>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</si>
  <si>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</si>
  <si>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</si>
  <si>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</si>
  <si>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</si>
  <si>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</si>
  <si>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</si>
  <si>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</si>
  <si>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</si>
  <si>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</si>
  <si>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</si>
  <si>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</si>
  <si>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</si>
  <si>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</si>
  <si>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</si>
  <si>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</si>
  <si>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</si>
  <si>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</si>
  <si>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</si>
  <si>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</si>
  <si>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</si>
  <si>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</si>
  <si>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</si>
  <si>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</si>
  <si>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</si>
  <si>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</si>
  <si>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</si>
  <si>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</si>
  <si>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</si>
  <si>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</si>
  <si>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</si>
  <si>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</si>
  <si>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</si>
  <si>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</si>
  <si>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</si>
  <si>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</si>
  <si>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</si>
  <si>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</si>
  <si>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</si>
  <si>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</si>
  <si>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</si>
  <si>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</si>
  <si>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</si>
  <si>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</si>
  <si>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</si>
  <si>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</si>
  <si>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</si>
  <si>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</si>
  <si>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</si>
  <si>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</si>
  <si>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</si>
  <si>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</si>
  <si>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</si>
  <si>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</si>
  <si>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</si>
  <si>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</si>
  <si>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</si>
  <si>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</si>
  <si>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</si>
  <si>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</si>
  <si>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</si>
  <si>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</si>
  <si>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</si>
  <si>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</si>
  <si>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</si>
  <si>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</si>
  <si>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</si>
  <si>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</si>
  <si>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</si>
  <si>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</si>
  <si>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</si>
  <si>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</si>
  <si>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</si>
  <si>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</si>
  <si>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</si>
  <si>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</si>
  <si>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</si>
  <si>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</si>
  <si>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</si>
  <si>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</si>
  <si>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</si>
  <si>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</si>
  <si>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</si>
  <si>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</si>
  <si>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</si>
  <si>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</si>
  <si>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</si>
  <si>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</si>
  <si>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</si>
  <si>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</si>
  <si>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</si>
  <si>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</si>
  <si>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</si>
  <si>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</si>
  <si>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</si>
  <si>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</si>
  <si>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</si>
  <si>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</si>
  <si>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</si>
  <si>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</si>
  <si>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</si>
  <si>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</si>
  <si>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</si>
  <si>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</si>
  <si>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</si>
  <si>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</si>
  <si>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</si>
  <si>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</si>
  <si>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</si>
  <si>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</si>
  <si>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</si>
  <si>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</si>
  <si>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</si>
  <si>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</si>
  <si>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</si>
  <si>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</si>
  <si>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</si>
  <si>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</si>
  <si>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</si>
  <si>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</si>
  <si>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</si>
  <si>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</si>
  <si>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</si>
  <si>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</si>
  <si>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</si>
  <si>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</si>
  <si>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</si>
  <si>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</si>
  <si>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</si>
  <si>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</si>
  <si>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</si>
  <si>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</si>
  <si>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</si>
  <si>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</si>
  <si>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</si>
  <si>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</si>
  <si>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</si>
  <si>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</si>
  <si>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</si>
  <si>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</si>
  <si>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</si>
  <si>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</si>
  <si>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</si>
  <si>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</si>
  <si>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</si>
  <si>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</si>
  <si>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</si>
  <si>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</si>
  <si>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</si>
  <si>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</si>
  <si>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</si>
  <si>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</si>
  <si>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</si>
  <si>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</si>
  <si>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</si>
  <si>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</si>
  <si>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</si>
  <si>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</si>
  <si>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</si>
  <si>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</si>
  <si>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</si>
  <si>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</si>
  <si>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</si>
  <si>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</si>
  <si>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</si>
  <si>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</si>
  <si>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</si>
  <si>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</si>
  <si>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</si>
  <si>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</si>
  <si>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</si>
  <si>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</si>
  <si>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</si>
  <si>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</si>
  <si>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</si>
  <si>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</si>
  <si>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</si>
  <si>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</si>
  <si>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</si>
  <si>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</si>
  <si>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</si>
  <si>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</si>
  <si>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</si>
  <si>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</si>
  <si>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</si>
  <si>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</si>
  <si>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</si>
  <si>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</si>
  <si>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</si>
  <si>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</si>
  <si>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</si>
  <si>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</si>
  <si>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</si>
  <si>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</si>
  <si>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</si>
  <si>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</si>
  <si>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</si>
  <si>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</si>
  <si>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</si>
  <si>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</si>
  <si>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</si>
  <si>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</si>
  <si>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</si>
  <si>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</si>
  <si>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</si>
  <si>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</si>
  <si>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</si>
  <si>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</si>
  <si>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</si>
  <si>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</si>
  <si>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</si>
  <si>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</si>
  <si>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</si>
  <si>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</si>
  <si>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</si>
  <si>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</si>
  <si>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</si>
  <si>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</si>
  <si>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</si>
  <si>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</si>
  <si>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</si>
  <si>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</si>
  <si>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</si>
  <si>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</si>
  <si>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</si>
  <si>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</si>
  <si>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</si>
  <si>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</si>
  <si>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</si>
  <si>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</si>
  <si>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</si>
  <si>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</si>
  <si>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</si>
  <si>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</si>
  <si>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</si>
  <si>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</si>
  <si>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</si>
  <si>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</si>
  <si>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</si>
  <si>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</si>
  <si>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</si>
  <si>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</si>
  <si>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</si>
  <si>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</si>
  <si>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</si>
  <si>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</si>
  <si>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</si>
  <si>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</si>
  <si>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</si>
  <si>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</si>
  <si>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</si>
  <si>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</si>
  <si>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</si>
  <si>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</si>
  <si>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</si>
  <si>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</si>
  <si>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</si>
  <si>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</si>
  <si>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</si>
  <si>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</si>
  <si>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</si>
  <si>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</si>
  <si>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</si>
  <si>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09 dic. 2025</t>
  </si>
  <si>
    <t>Tribunales de Justicia</t>
  </si>
  <si>
    <t>CASTILLA-LA MANCHA</t>
  </si>
  <si>
    <t>Provincias</t>
  </si>
  <si>
    <t>ALBACETE</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</si>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</sst>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3</v>
      </c>
      <c r="E5" s="371"/>
      <c r="F5" s="3"/>
      <c r="H5" t="s">
        <v>424</v>
      </c>
      <c r="Q5" s="345">
        <v>3</v>
      </c>
      <c r="R5" s="345">
        <v>2</v>
      </c>
      <c r="S5" t="b">
        <f>AND(Q5&gt;=TrimIni,Q5&lt;=TrimFin)</f>
        <v>1</v>
      </c>
    </row>
    <row r="6" spans="1:19" ht="15">
      <c r="A6" s="372"/>
      <c r="B6" s="371"/>
      <c r="C6" s="369" t="s">
        <v>216</v>
      </c>
      <c r="D6" s="370">
        <v>3</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5.5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915</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OafMI/P+iEIC8f6pXbbHF6+Xo5IXnGGaXs7RdaF9wM5cp4NAfqfRY8HXSh2yYLpuprRYjVOF5ayIb3TG1Vin6A==" saltValue="NZyGDe/xzkDetj0yC/Pqo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CASTILLA-LA MANCHA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3 al 3</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6</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f>IF(ISNUMBER(NºAsuntos!I9/NºAsuntos!G9),(NºAsuntos!I9/NºAsuntos!G9)*11," - ")</f>
        <v>43.530603448275862</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67</v>
      </c>
      <c r="D10" s="224">
        <f>IF(ISNUMBER(Datos!I10),Datos!I10," - ")</f>
        <v>67</v>
      </c>
      <c r="E10" s="225">
        <f>IF(ISNUMBER(Datos!J10),Datos!J10," - ")</f>
        <v>21</v>
      </c>
      <c r="F10" s="225">
        <f>IF(ISNUMBER(Datos!K10),Datos!K10," - ")</f>
        <v>22</v>
      </c>
      <c r="G10" s="1033" t="str">
        <f>IF(Datos!E10&lt;&gt;"",Datos!E10,Datos!D10)</f>
        <v>37</v>
      </c>
      <c r="H10" s="226">
        <f>IF(ISNUMBER(Datos!L10),Datos!L10," - ")</f>
        <v>66</v>
      </c>
      <c r="I10" s="1043" t="str">
        <f>IF(ISNUMBER(Datos!AS10/Datos!BM10),Datos!AS10/Datos!BM10," - ")</f>
        <v xml:space="preserve"> - </v>
      </c>
      <c r="J10" s="1044">
        <f>IF(ISNUMBER(Datos!BY10/Datos!CN10),Datos!BY10/Datos!CN10," - ")</f>
        <v>0</v>
      </c>
      <c r="K10" s="229">
        <f t="shared" ref="K10:K12" si="1">IF(ISNUMBER((E10-F10)/C10),(E10-F10)/C10," - ")</f>
        <v>-1.4925373134328358E-2</v>
      </c>
      <c r="L10" s="1024">
        <f>IF(ISNUMBER(NºAsuntos!I10/NºAsuntos!G10),(NºAsuntos!I10/NºAsuntos!G10)*11," - ")</f>
        <v>33</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2</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f>IF(ISNUMBER(NºAsuntos!I11/NºAsuntos!G11),(NºAsuntos!I11/NºAsuntos!G11)*11," - ")</f>
        <v>18.360696517412933</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0</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t="str">
        <f>IF(ISNUMBER(NºAsuntos!I12/NºAsuntos!G12),(NºAsuntos!I12/NºAsuntos!G12)*11," - ")</f>
        <v xml:space="preserve"> - </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67</v>
      </c>
      <c r="D13" s="1048">
        <f>SUBTOTAL(9,D9:D12)</f>
        <v>67</v>
      </c>
      <c r="E13" s="1049">
        <f>SUBTOTAL(9,E9:E12)</f>
        <v>21</v>
      </c>
      <c r="F13" s="1050">
        <f>SUBTOTAL(9,F9:F12)</f>
        <v>22</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3</v>
      </c>
      <c r="B15" s="501" t="str">
        <f>Datos!A15</f>
        <v xml:space="preserve">Jdos. Instrucción                               </v>
      </c>
      <c r="C15" s="224">
        <f t="shared" ref="C15:C17" si="2">IF(ISNUMBER(H15-E15+F15),H15-E15+F15," - ")</f>
        <v>3392</v>
      </c>
      <c r="D15" s="224">
        <f>IF(ISNUMBER(IF(D_I="SI",Datos!I15,Datos!I15+Datos!AC15)),IF(D_I="SI",Datos!I15,Datos!I15+Datos!AC15)," - ")</f>
        <v>3358</v>
      </c>
      <c r="E15" s="225">
        <f>IF(ISNUMBER(IF(D_I="SI",Datos!J15,Datos!J15+Datos!AD15)),IF(D_I="SI",Datos!J15,Datos!J15+Datos!AD15)," - ")</f>
        <v>2440</v>
      </c>
      <c r="F15" s="225">
        <f>IF(ISNUMBER(IF(D_I="SI",Datos!K15,Datos!K15+Datos!AE15)),IF(D_I="SI",Datos!K15,Datos!K15+Datos!AE15)," - ")</f>
        <v>2258</v>
      </c>
      <c r="G15" s="1033" t="str">
        <f>IF(Datos!E15&lt;&gt;"",Datos!E15,Datos!D15)</f>
        <v>03</v>
      </c>
      <c r="H15" s="226">
        <f>IF(ISNUMBER(IF(D_I="SI",Datos!L15,Datos!L15+Datos!AF15)),IF(D_I="SI",Datos!L15,Datos!L15+Datos!AF15)," - ")</f>
        <v>3574</v>
      </c>
      <c r="I15" s="1043" t="str">
        <f>IF(ISNUMBER(Datos!AS15/Datos!BM15),Datos!AS15/Datos!BM15," - ")</f>
        <v xml:space="preserve"> - </v>
      </c>
      <c r="J15" s="1044">
        <f>IF(ISNUMBER(Datos!BY15/Datos!CN15),Datos!BY15/Datos!CN15," - ")</f>
        <v>0</v>
      </c>
      <c r="K15" s="229">
        <f t="shared" ref="K15:K17" si="3">IF(ISNUMBER((E15-F15)/C15),(E15-F15)/C15," - ")</f>
        <v>5.3655660377358493E-2</v>
      </c>
      <c r="L15" s="1024">
        <f>IF(ISNUMBER(NºAsuntos!I15/NºAsuntos!G15),(NºAsuntos!I15/NºAsuntos!G15)*11," - ")</f>
        <v>17.410983170947741</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0</v>
      </c>
      <c r="B16" s="501" t="str">
        <f>Datos!A16</f>
        <v xml:space="preserve">Jdos. 1ª Instª. e Instr./Secc. Civil y de Inst. TI                      </v>
      </c>
      <c r="C16" s="224" t="str">
        <f t="shared" si="2"/>
        <v xml:space="preserve"> - </v>
      </c>
      <c r="D16" s="224" t="str">
        <f>IF(ISNUMBER(IF(D_I="SI",Datos!I16,Datos!I16+Datos!AC16)),IF(D_I="SI",Datos!I16,Datos!I16+Datos!AC16)," - ")</f>
        <v xml:space="preserve"> - </v>
      </c>
      <c r="E16" s="225" t="str">
        <f>IF(ISNUMBER(IF(D_I="SI",Datos!J16,Datos!J16+Datos!AD16)),IF(D_I="SI",Datos!J16,Datos!J16+Datos!AD16)," - ")</f>
        <v xml:space="preserve"> - </v>
      </c>
      <c r="F16" s="225" t="str">
        <f>IF(ISNUMBER(IF(D_I="SI",Datos!K16,Datos!K16+Datos!AE16)),IF(D_I="SI",Datos!K16,Datos!K16+Datos!AE16)," - ")</f>
        <v xml:space="preserve"> - </v>
      </c>
      <c r="G16" s="1033" t="str">
        <f>IF(Datos!E16&lt;&gt;"",Datos!E16,Datos!D16)</f>
        <v>04</v>
      </c>
      <c r="H16" s="226" t="str">
        <f>IF(ISNUMBER(IF(D_I="SI",Datos!L16,Datos!L16+Datos!AF16)),IF(D_I="SI",Datos!L16,Datos!L16+Datos!AF16)," - ")</f>
        <v xml:space="preserve"> - </v>
      </c>
      <c r="I16" s="1043" t="str">
        <f>IF(ISNUMBER(Datos!AS16/Datos!BM16),Datos!AS16/Datos!BM16," - ")</f>
        <v xml:space="preserve"> - </v>
      </c>
      <c r="J16" s="1044">
        <f>IF(ISNUMBER(Datos!BY16/Datos!CN16),Datos!BY16/Datos!CN16," - ")</f>
        <v>0</v>
      </c>
      <c r="K16" s="229" t="str">
        <f t="shared" si="3"/>
        <v xml:space="preserve"> - </v>
      </c>
      <c r="L16" s="1024" t="str">
        <f>IF(ISNUMBER(NºAsuntos!I16/NºAsuntos!G16),(NºAsuntos!I16/NºAsuntos!G16)*11," - ")</f>
        <v xml:space="preserve"> - </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303</v>
      </c>
      <c r="D17" s="224">
        <f>IF(ISNUMBER(IF(D_I="SI",Datos!I17,Datos!I17+Datos!AC17)),IF(D_I="SI",Datos!I17,Datos!I17+Datos!AC17)," - ")</f>
        <v>303</v>
      </c>
      <c r="E17" s="225">
        <f>IF(ISNUMBER(IF(D_I="SI",Datos!J17,Datos!J17+Datos!AD17)),IF(D_I="SI",Datos!J17,Datos!J17+Datos!AD17)," - ")</f>
        <v>255</v>
      </c>
      <c r="F17" s="225">
        <f>IF(ISNUMBER(IF(D_I="SI",Datos!K17,Datos!K17+Datos!AE17)),IF(D_I="SI",Datos!K17,Datos!K17+Datos!AE17)," - ")</f>
        <v>208</v>
      </c>
      <c r="G17" s="1033" t="str">
        <f>IF(Datos!E17&lt;&gt;"",Datos!E17,Datos!D17)</f>
        <v>37</v>
      </c>
      <c r="H17" s="226">
        <f>IF(ISNUMBER(IF(D_I="SI",Datos!L17,Datos!L17+Datos!AF17)),IF(D_I="SI",Datos!L17,Datos!L17+Datos!AF17)," - ")</f>
        <v>350</v>
      </c>
      <c r="I17" s="1043" t="str">
        <f>IF(ISNUMBER(Datos!AS17/Datos!BM17),Datos!AS17/Datos!BM17," - ")</f>
        <v xml:space="preserve"> - </v>
      </c>
      <c r="J17" s="1044" t="str">
        <f>IF(ISNUMBER((Datos!BY17+Datos!BZ17)/Datos!CN17),(Datos!BY17+Datos!BZ17)/Datos!CN17," - ")</f>
        <v xml:space="preserve"> - </v>
      </c>
      <c r="K17" s="229">
        <f t="shared" si="3"/>
        <v>0.15511551155115511</v>
      </c>
      <c r="L17" s="1024">
        <f>IF(ISNUMBER(NºAsuntos!I17/NºAsuntos!G17),(NºAsuntos!I17/NºAsuntos!G17)*11," - ")</f>
        <v>18.509615384615383</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3695</v>
      </c>
      <c r="D18" s="1048">
        <f>SUBTOTAL(9,D15:D17)</f>
        <v>3661</v>
      </c>
      <c r="E18" s="1049">
        <f>SUBTOTAL(9,E15:E17)</f>
        <v>2695</v>
      </c>
      <c r="F18" s="1049">
        <f>SUBTOTAL(9,F15:F17)</f>
        <v>2466</v>
      </c>
      <c r="G18" s="1051" t="str">
        <f ca="1">INDIRECT(CONCATENATE("G",ROW()-1))</f>
        <v>37</v>
      </c>
      <c r="H18" s="1052">
        <f ca="1">SUMIF(G$14:G17,G18,H$14:H17)</f>
        <v>350</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3762</v>
      </c>
      <c r="D19" s="1070">
        <f>SUBTOTAL(9,D9:D18)</f>
        <v>3728</v>
      </c>
      <c r="E19" s="1071">
        <f>SUBTOTAL(9,E9:E18)</f>
        <v>2716</v>
      </c>
      <c r="F19" s="1071">
        <f>SUBTOTAL(9,F9:F18)</f>
        <v>2488</v>
      </c>
      <c r="G19" s="1072"/>
      <c r="H19" s="1073">
        <f ca="1">SUMIF(B9:B18,"TOTAL",H9:H18)</f>
        <v>350</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09 dic. 2025</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xWdCypzhO1CoAc9OaUTCKJeWu1xrzmMw1t3BHUwzYA3Y5LnYGpqokGaRZBfMhdCRGn+y0OzgWqFCIo0Pj44DlQ==" saltValue="mZ7zQdyccq3UKe0RTnom2w=="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dvAK438kAmK7BoQbSaUZ5ULNPNrIXTa429tn+YQegbHaqKDCPmtcjeI861fB3AVdKVkSwtj14g1T/XRbPl6vXQ==" saltValue="aghWgzlZ1O1XNIDGJwKYH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ALBACETE</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v>9827</v>
      </c>
      <c r="J9" s="180">
        <v>1363</v>
      </c>
      <c r="K9" s="180">
        <v>2253</v>
      </c>
      <c r="L9" s="180">
        <v>8937</v>
      </c>
      <c r="M9" s="180">
        <v>609</v>
      </c>
      <c r="N9" s="180">
        <v>958</v>
      </c>
      <c r="O9" s="180">
        <v>1025</v>
      </c>
      <c r="P9" s="180">
        <v>874</v>
      </c>
      <c r="Q9" s="180">
        <v>413</v>
      </c>
      <c r="R9" s="180">
        <v>10782</v>
      </c>
      <c r="S9" s="180">
        <v>8492</v>
      </c>
      <c r="T9" s="180">
        <v>2044</v>
      </c>
      <c r="U9" s="180">
        <v>2094</v>
      </c>
      <c r="V9" s="180">
        <v>8442</v>
      </c>
      <c r="W9" s="180">
        <v>601</v>
      </c>
      <c r="X9" s="187">
        <v>773</v>
      </c>
      <c r="Y9" s="190">
        <v>186</v>
      </c>
      <c r="Z9" s="180">
        <v>125</v>
      </c>
      <c r="AA9" s="180">
        <v>67</v>
      </c>
      <c r="AB9" s="180">
        <v>244</v>
      </c>
      <c r="AC9" s="180">
        <v>0</v>
      </c>
      <c r="AD9" s="180">
        <v>0</v>
      </c>
      <c r="AE9" s="180">
        <v>0</v>
      </c>
      <c r="AF9" s="187">
        <v>0</v>
      </c>
      <c r="AG9" s="190">
        <v>137</v>
      </c>
      <c r="AH9" s="180">
        <v>55</v>
      </c>
      <c r="AI9" s="180">
        <v>48</v>
      </c>
      <c r="AJ9" s="191">
        <v>144</v>
      </c>
      <c r="AK9" s="179">
        <v>0</v>
      </c>
      <c r="AL9" s="180">
        <v>0</v>
      </c>
      <c r="AM9" s="180">
        <v>0</v>
      </c>
      <c r="AN9" s="187">
        <v>0</v>
      </c>
      <c r="AO9" s="257">
        <v>6</v>
      </c>
      <c r="AP9" s="153">
        <v>6</v>
      </c>
      <c r="AQ9" s="153">
        <v>6</v>
      </c>
      <c r="AR9" s="192">
        <v>6</v>
      </c>
      <c r="AS9" s="337" t="s">
        <v>791</v>
      </c>
      <c r="AT9" s="194"/>
      <c r="AU9" s="193"/>
      <c r="AV9" s="194"/>
      <c r="AW9" s="193"/>
      <c r="AX9" s="194"/>
      <c r="AY9" s="123">
        <f>IF(ISNUMBER(IF(J_V="SI",S9,S9+AG9)),IF(J_V="SI",S9,S9+AG9)," - ")</f>
        <v>8629</v>
      </c>
      <c r="AZ9" s="123">
        <f>IF(ISNUMBER(IF(J_V="SI",T9,T9+AH9)),IF(J_V="SI",T9,T9+AH9)," - ")</f>
        <v>2099</v>
      </c>
      <c r="BA9" s="124">
        <f>IF(ISNUMBER(IF(J_V="SI",U9,U9+AI9)),IF(J_V="SI",U9,U9+AI9)," - ")</f>
        <v>2142</v>
      </c>
      <c r="BB9" s="124">
        <f>IF(ISNUMBER(IF(J_V="SI",V9,V9+AJ9)),IF(J_V="SI",V9,V9+AJ9)," - ")</f>
        <v>8586</v>
      </c>
      <c r="BC9" s="125">
        <f>IF(ISNUMBER(X9),X9," - ")</f>
        <v>773</v>
      </c>
      <c r="BD9" s="126">
        <f>IF(ISNUMBER(BA9/AZ9),BA9/AZ9," - ")</f>
        <v>1.020485945688423</v>
      </c>
      <c r="BE9" s="127">
        <f>IF(ISNUMBER(BB9/BA9),BB9/BA9, " - ")</f>
        <v>4.0084033613445378</v>
      </c>
      <c r="BF9" s="127">
        <f>IF(ISNUMBER(BC9/BA9),BC9/BA9, " - ")</f>
        <v>0.36087768440709617</v>
      </c>
      <c r="BG9" s="195">
        <f>IF(ISNUMBER((AY9+AZ9)/BA9),(AY9+AZ9)/BA9," - ")</f>
        <v>5.0084033613445378</v>
      </c>
      <c r="BH9" s="153">
        <v>6</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67</v>
      </c>
      <c r="J10" s="180">
        <v>21</v>
      </c>
      <c r="K10" s="180">
        <v>22</v>
      </c>
      <c r="L10" s="180">
        <v>66</v>
      </c>
      <c r="M10" s="180">
        <v>9</v>
      </c>
      <c r="N10" s="180">
        <v>11</v>
      </c>
      <c r="O10" s="180">
        <v>11</v>
      </c>
      <c r="P10" s="180">
        <v>4</v>
      </c>
      <c r="Q10" s="180">
        <v>22</v>
      </c>
      <c r="R10" s="180">
        <v>45</v>
      </c>
      <c r="S10" s="180">
        <v>75</v>
      </c>
      <c r="T10" s="180">
        <v>47</v>
      </c>
      <c r="U10" s="180">
        <v>22</v>
      </c>
      <c r="V10" s="180">
        <v>100</v>
      </c>
      <c r="W10" s="180">
        <v>4</v>
      </c>
      <c r="X10" s="187">
        <v>15</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1</v>
      </c>
      <c r="AQ10" s="153">
        <v>1</v>
      </c>
      <c r="AR10" s="154">
        <v>1</v>
      </c>
      <c r="AS10" s="338" t="s">
        <v>785</v>
      </c>
      <c r="AT10" s="191"/>
      <c r="AU10" s="199"/>
      <c r="AV10" s="191"/>
      <c r="AW10" s="199"/>
      <c r="AX10" s="191"/>
      <c r="AY10" s="128">
        <f t="shared" ref="AY10:BC10" si="0">IF(ISNUMBER(S10),S10," - ")</f>
        <v>75</v>
      </c>
      <c r="AZ10" s="129">
        <f t="shared" si="0"/>
        <v>47</v>
      </c>
      <c r="BA10" s="129">
        <f t="shared" si="0"/>
        <v>22</v>
      </c>
      <c r="BB10" s="129">
        <f t="shared" si="0"/>
        <v>100</v>
      </c>
      <c r="BC10" s="125">
        <f t="shared" si="0"/>
        <v>4</v>
      </c>
      <c r="BD10" s="126">
        <f>IF(ISNUMBER(BA10/AZ10),BA10/AZ10," - ")</f>
        <v>0.46808510638297873</v>
      </c>
      <c r="BE10" s="127">
        <f>IF(ISNUMBER(BB10/BA10),BB10/BA10, " - ")</f>
        <v>4.5454545454545459</v>
      </c>
      <c r="BF10" s="127">
        <f>IF(ISNUMBER(BC10/BA10),BC10/BA10, " - ")</f>
        <v>0.18181818181818182</v>
      </c>
      <c r="BG10" s="195">
        <f>IF(ISNUMBER((AY10+AZ10)/BA10),(AY10+AZ10)/BA10," - ")</f>
        <v>5.5454545454545459</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v>504</v>
      </c>
      <c r="J11" s="182">
        <v>223</v>
      </c>
      <c r="K11" s="182">
        <v>226</v>
      </c>
      <c r="L11" s="182">
        <v>501</v>
      </c>
      <c r="M11" s="182">
        <v>86</v>
      </c>
      <c r="N11" s="182">
        <v>258</v>
      </c>
      <c r="O11" s="180">
        <v>138</v>
      </c>
      <c r="P11" s="182">
        <v>26</v>
      </c>
      <c r="Q11" s="182">
        <v>26</v>
      </c>
      <c r="R11" s="182">
        <v>608</v>
      </c>
      <c r="S11" s="182">
        <v>585</v>
      </c>
      <c r="T11" s="182">
        <v>227</v>
      </c>
      <c r="U11" s="182">
        <v>225</v>
      </c>
      <c r="V11" s="182">
        <v>569</v>
      </c>
      <c r="W11" s="182">
        <v>91</v>
      </c>
      <c r="X11" s="188">
        <v>268</v>
      </c>
      <c r="Y11" s="190">
        <v>123</v>
      </c>
      <c r="Z11" s="180">
        <v>223</v>
      </c>
      <c r="AA11" s="180">
        <v>176</v>
      </c>
      <c r="AB11" s="180">
        <v>170</v>
      </c>
      <c r="AC11" s="182">
        <v>0</v>
      </c>
      <c r="AD11" s="182">
        <v>0</v>
      </c>
      <c r="AE11" s="182">
        <v>0</v>
      </c>
      <c r="AF11" s="188">
        <v>0</v>
      </c>
      <c r="AG11" s="201">
        <v>58</v>
      </c>
      <c r="AH11" s="182">
        <v>192</v>
      </c>
      <c r="AI11" s="182">
        <v>179</v>
      </c>
      <c r="AJ11" s="202">
        <v>71</v>
      </c>
      <c r="AK11" s="181">
        <v>0</v>
      </c>
      <c r="AL11" s="182">
        <v>0</v>
      </c>
      <c r="AM11" s="182">
        <v>0</v>
      </c>
      <c r="AN11" s="188">
        <v>0</v>
      </c>
      <c r="AO11" s="258">
        <v>2</v>
      </c>
      <c r="AP11" s="154">
        <v>2</v>
      </c>
      <c r="AQ11" s="154">
        <v>2</v>
      </c>
      <c r="AR11" s="153">
        <v>2</v>
      </c>
      <c r="AS11" s="339" t="s">
        <v>793</v>
      </c>
      <c r="AT11" s="202"/>
      <c r="AU11" s="201"/>
      <c r="AV11" s="202"/>
      <c r="AW11" s="201"/>
      <c r="AX11" s="202"/>
      <c r="AY11" s="126">
        <f t="shared" ref="AY11:BB12" si="1">IF(ISNUMBER(IF(J_V="SI",S11,S11+AG11)),IF(J_V="SI",S11,S11+AG11)," - ")</f>
        <v>643</v>
      </c>
      <c r="AZ11" s="127">
        <f t="shared" si="1"/>
        <v>419</v>
      </c>
      <c r="BA11" s="127">
        <f t="shared" si="1"/>
        <v>404</v>
      </c>
      <c r="BB11" s="127">
        <f t="shared" si="1"/>
        <v>640</v>
      </c>
      <c r="BC11" s="125">
        <f>IF(ISNUMBER(X11),X11," - ")</f>
        <v>268</v>
      </c>
      <c r="BD11" s="126">
        <f t="shared" ref="BD11:BD12" si="2">IF(ISNUMBER(BA11/AZ11),BA11/AZ11," - ")</f>
        <v>0.96420047732696901</v>
      </c>
      <c r="BE11" s="127">
        <f t="shared" ref="BE11:BE12" si="3">IF(ISNUMBER(BB11/BA11),BB11/BA11, " - ")</f>
        <v>1.5841584158415842</v>
      </c>
      <c r="BF11" s="127">
        <f t="shared" ref="BF11:BF12" si="4">IF(ISNUMBER(BC11/BA11),BC11/BA11, " - ")</f>
        <v>0.6633663366336634</v>
      </c>
      <c r="BG11" s="195">
        <f t="shared" ref="BG11:BG12" si="5">IF(ISNUMBER((AY11+AZ11)/BA11),(AY11+AZ11)/BA11," - ")</f>
        <v>2.6287128712871288</v>
      </c>
      <c r="BH11" s="154">
        <v>2</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t="s">
        <v>798</v>
      </c>
      <c r="J12" s="182" t="s">
        <v>792</v>
      </c>
      <c r="K12" s="182" t="s">
        <v>839</v>
      </c>
      <c r="L12" s="182" t="s">
        <v>802</v>
      </c>
      <c r="M12" s="182" t="s">
        <v>490</v>
      </c>
      <c r="N12" s="182" t="s">
        <v>505</v>
      </c>
      <c r="O12" s="180" t="s">
        <v>224</v>
      </c>
      <c r="P12" s="182" t="s">
        <v>39</v>
      </c>
      <c r="Q12" s="182" t="s">
        <v>40</v>
      </c>
      <c r="R12" s="182" t="s">
        <v>91</v>
      </c>
      <c r="S12" s="182"/>
      <c r="T12" s="182"/>
      <c r="U12" s="182"/>
      <c r="V12" s="182"/>
      <c r="W12" s="182"/>
      <c r="X12" s="188"/>
      <c r="Y12" s="190" t="s">
        <v>134</v>
      </c>
      <c r="Z12" s="180" t="s">
        <v>135</v>
      </c>
      <c r="AA12" s="180" t="s">
        <v>136</v>
      </c>
      <c r="AB12" s="180" t="s">
        <v>137</v>
      </c>
      <c r="AC12" s="182"/>
      <c r="AD12" s="182"/>
      <c r="AE12" s="182"/>
      <c r="AF12" s="188"/>
      <c r="AG12" s="201"/>
      <c r="AH12" s="182"/>
      <c r="AI12" s="182"/>
      <c r="AJ12" s="202"/>
      <c r="AK12" s="181"/>
      <c r="AL12" s="182"/>
      <c r="AM12" s="182"/>
      <c r="AN12" s="188"/>
      <c r="AO12" s="258">
        <v>0</v>
      </c>
      <c r="AP12" s="154">
        <v>0</v>
      </c>
      <c r="AQ12" s="154">
        <v>0</v>
      </c>
      <c r="AR12" s="153">
        <v>0</v>
      </c>
      <c r="AS12" s="339" t="s">
        <v>794</v>
      </c>
      <c r="AT12" s="202"/>
      <c r="AU12" s="201"/>
      <c r="AV12" s="202"/>
      <c r="AW12" s="201"/>
      <c r="AX12" s="202"/>
      <c r="AY12" s="126">
        <f t="shared" si="1"/>
        <v>0</v>
      </c>
      <c r="AZ12" s="127">
        <f t="shared" si="1"/>
        <v>0</v>
      </c>
      <c r="BA12" s="127">
        <f t="shared" si="1"/>
        <v>0</v>
      </c>
      <c r="BB12" s="127">
        <f t="shared" si="1"/>
        <v>0</v>
      </c>
      <c r="BC12" s="125" t="str">
        <f>IF(ISNUMBER(X12),X12," - ")</f>
        <v xml:space="preserve"> - </v>
      </c>
      <c r="BD12" s="126" t="str">
        <f t="shared" si="2"/>
        <v xml:space="preserve"> - </v>
      </c>
      <c r="BE12" s="127" t="str">
        <f t="shared" si="3"/>
        <v xml:space="preserve"> - </v>
      </c>
      <c r="BF12" s="127" t="str">
        <f t="shared" si="4"/>
        <v xml:space="preserve"> - </v>
      </c>
      <c r="BG12" s="195" t="str">
        <f t="shared" si="5"/>
        <v xml:space="preserve"> - </v>
      </c>
      <c r="BH12" s="154">
        <v>0</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10398</v>
      </c>
      <c r="J13" s="183">
        <f t="shared" si="6"/>
        <v>1607</v>
      </c>
      <c r="K13" s="183">
        <f t="shared" si="6"/>
        <v>2501</v>
      </c>
      <c r="L13" s="183">
        <f t="shared" si="6"/>
        <v>9504</v>
      </c>
      <c r="M13" s="183">
        <f t="shared" si="6"/>
        <v>704</v>
      </c>
      <c r="N13" s="183">
        <f t="shared" si="6"/>
        <v>1227</v>
      </c>
      <c r="O13" s="183">
        <f t="shared" si="6"/>
        <v>1174</v>
      </c>
      <c r="P13" s="183">
        <f t="shared" si="6"/>
        <v>904</v>
      </c>
      <c r="Q13" s="183">
        <f t="shared" si="6"/>
        <v>461</v>
      </c>
      <c r="R13" s="183">
        <f t="shared" si="6"/>
        <v>11435</v>
      </c>
      <c r="S13" s="183">
        <f t="shared" si="6"/>
        <v>9152</v>
      </c>
      <c r="T13" s="183">
        <f t="shared" si="6"/>
        <v>2318</v>
      </c>
      <c r="U13" s="183">
        <f t="shared" si="6"/>
        <v>2341</v>
      </c>
      <c r="V13" s="183">
        <f t="shared" si="6"/>
        <v>9111</v>
      </c>
      <c r="W13" s="183">
        <f t="shared" si="6"/>
        <v>696</v>
      </c>
      <c r="X13" s="183">
        <f t="shared" si="6"/>
        <v>1056</v>
      </c>
      <c r="Y13" s="183">
        <f t="shared" si="6"/>
        <v>309</v>
      </c>
      <c r="Z13" s="183">
        <f t="shared" si="6"/>
        <v>348</v>
      </c>
      <c r="AA13" s="183">
        <f t="shared" si="6"/>
        <v>243</v>
      </c>
      <c r="AB13" s="183">
        <f t="shared" si="6"/>
        <v>414</v>
      </c>
      <c r="AC13" s="183">
        <f t="shared" si="6"/>
        <v>0</v>
      </c>
      <c r="AD13" s="183">
        <f t="shared" si="6"/>
        <v>0</v>
      </c>
      <c r="AE13" s="183">
        <f t="shared" si="6"/>
        <v>0</v>
      </c>
      <c r="AF13" s="183">
        <f>SUBTOTAL(9,AF9:AF12)</f>
        <v>0</v>
      </c>
      <c r="AG13" s="183">
        <f t="shared" ref="AG13:AT13" si="7">SUBTOTAL(9,AG8:AG12)</f>
        <v>195</v>
      </c>
      <c r="AH13" s="183">
        <f t="shared" si="7"/>
        <v>247</v>
      </c>
      <c r="AI13" s="183">
        <f t="shared" si="7"/>
        <v>227</v>
      </c>
      <c r="AJ13" s="183">
        <f t="shared" si="7"/>
        <v>215</v>
      </c>
      <c r="AK13" s="183">
        <f t="shared" si="7"/>
        <v>0</v>
      </c>
      <c r="AL13" s="183">
        <f t="shared" si="7"/>
        <v>0</v>
      </c>
      <c r="AM13" s="183">
        <f t="shared" si="7"/>
        <v>0</v>
      </c>
      <c r="AN13" s="183">
        <f t="shared" si="7"/>
        <v>0</v>
      </c>
      <c r="AO13" s="183">
        <f t="shared" si="7"/>
        <v>9</v>
      </c>
      <c r="AP13" s="183">
        <f t="shared" si="7"/>
        <v>9</v>
      </c>
      <c r="AQ13" s="183">
        <f t="shared" si="7"/>
        <v>9</v>
      </c>
      <c r="AR13" s="183">
        <f t="shared" si="7"/>
        <v>9</v>
      </c>
      <c r="AS13" s="183">
        <f t="shared" si="7"/>
        <v>0</v>
      </c>
      <c r="AT13" s="183">
        <f t="shared" si="7"/>
        <v>0</v>
      </c>
      <c r="AU13" s="203"/>
      <c r="AV13" s="132"/>
      <c r="AW13" s="203"/>
      <c r="AX13" s="132"/>
      <c r="AY13" s="183">
        <f>SUBTOTAL(9,AY8:AY12)</f>
        <v>9347</v>
      </c>
      <c r="AZ13" s="183">
        <f>SUBTOTAL(9,AZ8:AZ12)</f>
        <v>2565</v>
      </c>
      <c r="BA13" s="183">
        <f>SUBTOTAL(9,BA8:BA12)</f>
        <v>2568</v>
      </c>
      <c r="BB13" s="183">
        <f>SUBTOTAL(9,BB8:BB12)</f>
        <v>9326</v>
      </c>
      <c r="BC13" s="183">
        <f>SUBTOTAL(9,BC8:BC12)</f>
        <v>1045</v>
      </c>
      <c r="BD13" s="204">
        <f>IF(ISNUMBER(BA13/AZ13),BA13/AZ13," - ")</f>
        <v>1.0011695906432749</v>
      </c>
      <c r="BE13" s="205">
        <f>IF(ISNUMBER(BB13/BA13),BB13/BA13, " - ")</f>
        <v>3.6316199376947043</v>
      </c>
      <c r="BF13" s="205">
        <f>IF(ISNUMBER(BC13/BA13),BC13/BA13, " - ")</f>
        <v>0.4069314641744548</v>
      </c>
      <c r="BG13" s="206">
        <f>IF(ISNUMBER((AY13+AZ13)/BA13),(AY13+AZ13)/BA13," - ")</f>
        <v>4.638629283489097</v>
      </c>
      <c r="BH13" s="139">
        <f>SUBTOTAL(9,BH8:BH12)</f>
        <v>9</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v>3358</v>
      </c>
      <c r="J15" s="182">
        <v>2440</v>
      </c>
      <c r="K15" s="182">
        <v>2258</v>
      </c>
      <c r="L15" s="182">
        <v>3574</v>
      </c>
      <c r="M15" s="182">
        <v>331</v>
      </c>
      <c r="N15" s="182">
        <v>1129</v>
      </c>
      <c r="O15" s="180">
        <v>185</v>
      </c>
      <c r="P15" s="182">
        <v>154</v>
      </c>
      <c r="Q15" s="182">
        <v>218</v>
      </c>
      <c r="R15" s="182">
        <v>938</v>
      </c>
      <c r="S15" s="182">
        <v>3700</v>
      </c>
      <c r="T15" s="182">
        <v>2145</v>
      </c>
      <c r="U15" s="182">
        <v>1973</v>
      </c>
      <c r="V15" s="182">
        <v>3930</v>
      </c>
      <c r="W15" s="182">
        <v>339</v>
      </c>
      <c r="X15" s="188">
        <v>1110</v>
      </c>
      <c r="Y15" s="201">
        <v>0</v>
      </c>
      <c r="Z15" s="182">
        <v>0</v>
      </c>
      <c r="AA15" s="182">
        <v>0</v>
      </c>
      <c r="AB15" s="182">
        <v>0</v>
      </c>
      <c r="AC15" s="182">
        <v>1</v>
      </c>
      <c r="AD15" s="182">
        <v>9</v>
      </c>
      <c r="AE15" s="182">
        <v>9</v>
      </c>
      <c r="AF15" s="188">
        <v>1</v>
      </c>
      <c r="AG15" s="201">
        <v>0</v>
      </c>
      <c r="AH15" s="182">
        <v>0</v>
      </c>
      <c r="AI15" s="182">
        <v>0</v>
      </c>
      <c r="AJ15" s="202">
        <v>0</v>
      </c>
      <c r="AK15" s="181">
        <v>2</v>
      </c>
      <c r="AL15" s="182">
        <v>16</v>
      </c>
      <c r="AM15" s="182">
        <v>16</v>
      </c>
      <c r="AN15" s="188">
        <v>2</v>
      </c>
      <c r="AO15" s="258">
        <v>3</v>
      </c>
      <c r="AP15" s="154">
        <v>3</v>
      </c>
      <c r="AQ15" s="154">
        <v>3</v>
      </c>
      <c r="AR15" s="154">
        <v>3</v>
      </c>
      <c r="AS15" s="339" t="s">
        <v>522</v>
      </c>
      <c r="AT15" s="202" t="s">
        <v>326</v>
      </c>
      <c r="AU15" s="201"/>
      <c r="AV15" s="202"/>
      <c r="AW15" s="201"/>
      <c r="AX15" s="202"/>
      <c r="AY15" s="128">
        <f t="shared" ref="AY15:BB16" si="9">IF(ISNUMBER(IF(D_I="SI",S15,S15+AK15)),IF(D_I="SI",S15,S15+AK15)," - ")</f>
        <v>3700</v>
      </c>
      <c r="AZ15" s="129">
        <f t="shared" si="9"/>
        <v>2145</v>
      </c>
      <c r="BA15" s="129">
        <f t="shared" si="9"/>
        <v>1973</v>
      </c>
      <c r="BB15" s="129">
        <f t="shared" si="9"/>
        <v>3930</v>
      </c>
      <c r="BC15" s="125">
        <f>IF(ISNUMBER(W15),W15," - ")</f>
        <v>339</v>
      </c>
      <c r="BD15" s="126">
        <f>IF(ISNUMBER(BA15/AZ15),BA15/AZ15," - ")</f>
        <v>0.91981351981351978</v>
      </c>
      <c r="BE15" s="127">
        <f>IF(ISNUMBER(BB15/BA15),BB15/BA15, " - ")</f>
        <v>1.9918905220476433</v>
      </c>
      <c r="BF15" s="127">
        <f>IF(ISNUMBER(BC15/BA15),BC15/BA15, " - ")</f>
        <v>0.17181956411556007</v>
      </c>
      <c r="BG15" s="195">
        <f t="shared" ref="BG15:BG16" si="10">IF(ISNUMBER((AY15+AZ15)/BA15),(AY15+AZ15)/BA15," - ")</f>
        <v>2.9624936644703497</v>
      </c>
      <c r="BH15" s="154">
        <v>3</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t="s">
        <v>488</v>
      </c>
      <c r="J16" s="182" t="s">
        <v>484</v>
      </c>
      <c r="K16" s="182" t="s">
        <v>485</v>
      </c>
      <c r="L16" s="182" t="s">
        <v>486</v>
      </c>
      <c r="M16" s="182" t="s">
        <v>491</v>
      </c>
      <c r="N16" s="182" t="s">
        <v>150</v>
      </c>
      <c r="O16" s="180" t="s">
        <v>225</v>
      </c>
      <c r="P16" s="182" t="s">
        <v>470</v>
      </c>
      <c r="Q16" s="182" t="s">
        <v>471</v>
      </c>
      <c r="R16" s="182" t="s">
        <v>472</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487</v>
      </c>
      <c r="AT16" s="202"/>
      <c r="AU16" s="201"/>
      <c r="AV16" s="202"/>
      <c r="AW16" s="201"/>
      <c r="AX16" s="202"/>
      <c r="AY16" s="126" t="str">
        <f t="shared" si="9"/>
        <v xml:space="preserve"> - </v>
      </c>
      <c r="AZ16" s="127" t="str">
        <f t="shared" si="9"/>
        <v xml:space="preserve"> - </v>
      </c>
      <c r="BA16" s="127" t="str">
        <f t="shared" si="9"/>
        <v xml:space="preserve"> - </v>
      </c>
      <c r="BB16" s="127" t="str">
        <f t="shared" si="9"/>
        <v xml:space="preserve"> - </v>
      </c>
      <c r="BC16" s="125" t="str">
        <f>IF(ISNUMBER(W16),W16," - ")</f>
        <v xml:space="preserve"> - </v>
      </c>
      <c r="BD16" s="126" t="str">
        <f t="shared" ref="BD16" si="11">IF(ISNUMBER(BA16/AZ16),BA16/AZ16," - ")</f>
        <v xml:space="preserve"> - </v>
      </c>
      <c r="BE16" s="127" t="str">
        <f t="shared" ref="BE16" si="12">IF(ISNUMBER(BB16/BA16),BB16/BA16, " - ")</f>
        <v xml:space="preserve"> - </v>
      </c>
      <c r="BF16" s="127" t="str">
        <f t="shared" ref="BF16" si="13">IF(ISNUMBER(BC16/BA16),BC16/BA16, " - ")</f>
        <v xml:space="preserve"> - </v>
      </c>
      <c r="BG16" s="195" t="str">
        <f t="shared" si="10"/>
        <v xml:space="preserve"> - </v>
      </c>
      <c r="BH16" s="154">
        <v>0</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303</v>
      </c>
      <c r="J17" s="182">
        <v>255</v>
      </c>
      <c r="K17" s="182">
        <v>208</v>
      </c>
      <c r="L17" s="182">
        <v>350</v>
      </c>
      <c r="M17" s="182">
        <v>15</v>
      </c>
      <c r="N17" s="182">
        <v>134</v>
      </c>
      <c r="O17" s="182">
        <v>0</v>
      </c>
      <c r="P17" s="182">
        <v>0</v>
      </c>
      <c r="Q17" s="182">
        <v>0</v>
      </c>
      <c r="R17" s="182">
        <v>5</v>
      </c>
      <c r="S17" s="182">
        <v>362</v>
      </c>
      <c r="T17" s="182">
        <v>239</v>
      </c>
      <c r="U17" s="182">
        <v>214</v>
      </c>
      <c r="V17" s="182">
        <v>387</v>
      </c>
      <c r="W17" s="182">
        <v>26</v>
      </c>
      <c r="X17" s="188">
        <v>127</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1</v>
      </c>
      <c r="AQ17" s="153">
        <v>1</v>
      </c>
      <c r="AR17" s="154">
        <v>1</v>
      </c>
      <c r="AS17" s="338" t="s">
        <v>784</v>
      </c>
      <c r="AT17" s="208"/>
      <c r="AU17" s="199"/>
      <c r="AV17" s="208"/>
      <c r="AW17" s="199"/>
      <c r="AX17" s="208"/>
      <c r="AY17" s="128">
        <f t="shared" ref="AY17:BB17" si="14">IF(ISNUMBER(S17),S17," - ")</f>
        <v>362</v>
      </c>
      <c r="AZ17" s="129">
        <f t="shared" si="14"/>
        <v>239</v>
      </c>
      <c r="BA17" s="129">
        <f t="shared" si="14"/>
        <v>214</v>
      </c>
      <c r="BB17" s="129">
        <f t="shared" si="14"/>
        <v>387</v>
      </c>
      <c r="BC17" s="125">
        <f>IF(ISNUMBER(W17),W17," - ")</f>
        <v>26</v>
      </c>
      <c r="BD17" s="126">
        <f>IF(ISNUMBER(BA17/AZ17),BA17/AZ17," - ")</f>
        <v>0.89539748953974896</v>
      </c>
      <c r="BE17" s="127">
        <f>IF(ISNUMBER(BB17/BA17),BB17/BA17, " - ")</f>
        <v>1.808411214953271</v>
      </c>
      <c r="BF17" s="127">
        <f>IF(ISNUMBER(BC17/BA17),BC17/BA17, " - ")</f>
        <v>0.12149532710280374</v>
      </c>
      <c r="BG17" s="195">
        <f>IF(ISNUMBER((AY17+AZ17)/BA17),(AY17+AZ17)/BA17," - ")</f>
        <v>2.8084112149532712</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3661</v>
      </c>
      <c r="J18" s="183">
        <f t="shared" si="15"/>
        <v>2695</v>
      </c>
      <c r="K18" s="183">
        <f t="shared" si="15"/>
        <v>2466</v>
      </c>
      <c r="L18" s="183">
        <f t="shared" si="15"/>
        <v>3924</v>
      </c>
      <c r="M18" s="183">
        <f t="shared" si="15"/>
        <v>346</v>
      </c>
      <c r="N18" s="183">
        <f t="shared" si="15"/>
        <v>1263</v>
      </c>
      <c r="O18" s="183">
        <f t="shared" si="15"/>
        <v>185</v>
      </c>
      <c r="P18" s="183">
        <f t="shared" si="15"/>
        <v>154</v>
      </c>
      <c r="Q18" s="183">
        <f t="shared" si="15"/>
        <v>218</v>
      </c>
      <c r="R18" s="183">
        <f t="shared" si="15"/>
        <v>943</v>
      </c>
      <c r="S18" s="183">
        <f t="shared" si="15"/>
        <v>4062</v>
      </c>
      <c r="T18" s="183">
        <f t="shared" si="15"/>
        <v>2384</v>
      </c>
      <c r="U18" s="183">
        <f t="shared" si="15"/>
        <v>2187</v>
      </c>
      <c r="V18" s="183">
        <f t="shared" si="15"/>
        <v>4317</v>
      </c>
      <c r="W18" s="183">
        <f t="shared" si="15"/>
        <v>365</v>
      </c>
      <c r="X18" s="183">
        <f t="shared" si="15"/>
        <v>1237</v>
      </c>
      <c r="Y18" s="183">
        <f t="shared" si="15"/>
        <v>0</v>
      </c>
      <c r="Z18" s="183">
        <f t="shared" si="15"/>
        <v>0</v>
      </c>
      <c r="AA18" s="183">
        <f t="shared" si="15"/>
        <v>0</v>
      </c>
      <c r="AB18" s="183">
        <f t="shared" si="15"/>
        <v>0</v>
      </c>
      <c r="AC18" s="183">
        <f t="shared" si="15"/>
        <v>1</v>
      </c>
      <c r="AD18" s="183">
        <f t="shared" si="15"/>
        <v>9</v>
      </c>
      <c r="AE18" s="183">
        <f t="shared" si="15"/>
        <v>9</v>
      </c>
      <c r="AF18" s="183">
        <f t="shared" si="15"/>
        <v>1</v>
      </c>
      <c r="AG18" s="183">
        <f t="shared" si="15"/>
        <v>0</v>
      </c>
      <c r="AH18" s="183">
        <f t="shared" si="15"/>
        <v>0</v>
      </c>
      <c r="AI18" s="183">
        <f t="shared" si="15"/>
        <v>0</v>
      </c>
      <c r="AJ18" s="183">
        <f t="shared" si="15"/>
        <v>0</v>
      </c>
      <c r="AK18" s="183">
        <f t="shared" si="15"/>
        <v>2</v>
      </c>
      <c r="AL18" s="183">
        <f t="shared" si="15"/>
        <v>16</v>
      </c>
      <c r="AM18" s="183">
        <f t="shared" si="15"/>
        <v>16</v>
      </c>
      <c r="AN18" s="183">
        <f t="shared" si="15"/>
        <v>2</v>
      </c>
      <c r="AO18" s="183">
        <f t="shared" si="15"/>
        <v>4</v>
      </c>
      <c r="AP18" s="183">
        <f t="shared" si="15"/>
        <v>4</v>
      </c>
      <c r="AQ18" s="183">
        <f t="shared" si="15"/>
        <v>4</v>
      </c>
      <c r="AR18" s="183">
        <f t="shared" si="15"/>
        <v>4</v>
      </c>
      <c r="AS18" s="183">
        <f t="shared" si="15"/>
        <v>0</v>
      </c>
      <c r="AT18" s="183">
        <f t="shared" si="15"/>
        <v>0</v>
      </c>
      <c r="AU18" s="203"/>
      <c r="AV18" s="132"/>
      <c r="AW18" s="203"/>
      <c r="AX18" s="132"/>
      <c r="AY18" s="183">
        <f>SUBTOTAL(9,AY14:AY17)</f>
        <v>4062</v>
      </c>
      <c r="AZ18" s="183">
        <f>SUBTOTAL(9,AZ14:AZ17)</f>
        <v>2384</v>
      </c>
      <c r="BA18" s="183">
        <f>SUBTOTAL(9,BA14:BA17)</f>
        <v>2187</v>
      </c>
      <c r="BB18" s="183">
        <f>SUBTOTAL(9,BB14:BB17)</f>
        <v>4317</v>
      </c>
      <c r="BC18" s="183">
        <f>SUBTOTAL(9,BC14:BC17)</f>
        <v>365</v>
      </c>
      <c r="BD18" s="204">
        <f>IF(ISNUMBER(BA18/AZ18),BA18/AZ18," - ")</f>
        <v>0.91736577181208057</v>
      </c>
      <c r="BE18" s="205">
        <f>IF(ISNUMBER(BB18/BA18),BB18/BA18, " - ")</f>
        <v>1.9739368998628257</v>
      </c>
      <c r="BF18" s="205">
        <f>IF(ISNUMBER(BC18/BA18),BC18/BA18, " - ")</f>
        <v>0.16689529035208048</v>
      </c>
      <c r="BG18" s="206">
        <f>IF(ISNUMBER((AY18+AZ18)/BA18),(AY18+AZ18)/BA18," - ")</f>
        <v>2.9474165523548241</v>
      </c>
      <c r="BH18" s="183">
        <f>SUBTOTAL(9,BH14:BH17)</f>
        <v>4</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14059</v>
      </c>
      <c r="J19" s="134">
        <f t="shared" si="18"/>
        <v>4302</v>
      </c>
      <c r="K19" s="134">
        <f t="shared" si="18"/>
        <v>4967</v>
      </c>
      <c r="L19" s="134">
        <f t="shared" si="18"/>
        <v>13428</v>
      </c>
      <c r="M19" s="134">
        <f t="shared" si="18"/>
        <v>1050</v>
      </c>
      <c r="N19" s="134">
        <f t="shared" si="18"/>
        <v>2490</v>
      </c>
      <c r="O19" s="134">
        <f t="shared" si="18"/>
        <v>1359</v>
      </c>
      <c r="P19" s="134">
        <f t="shared" si="18"/>
        <v>1058</v>
      </c>
      <c r="Q19" s="134">
        <f t="shared" si="18"/>
        <v>679</v>
      </c>
      <c r="R19" s="134">
        <f t="shared" si="18"/>
        <v>12378</v>
      </c>
      <c r="S19" s="134">
        <f t="shared" si="18"/>
        <v>13214</v>
      </c>
      <c r="T19" s="134">
        <f t="shared" si="18"/>
        <v>4702</v>
      </c>
      <c r="U19" s="134">
        <f t="shared" si="18"/>
        <v>4528</v>
      </c>
      <c r="V19" s="134">
        <f t="shared" si="18"/>
        <v>13428</v>
      </c>
      <c r="W19" s="134">
        <f t="shared" si="18"/>
        <v>1061</v>
      </c>
      <c r="X19" s="134">
        <f t="shared" si="18"/>
        <v>2293</v>
      </c>
      <c r="Y19" s="134">
        <f t="shared" si="18"/>
        <v>309</v>
      </c>
      <c r="Z19" s="134">
        <f t="shared" si="18"/>
        <v>348</v>
      </c>
      <c r="AA19" s="134">
        <f t="shared" si="18"/>
        <v>243</v>
      </c>
      <c r="AB19" s="134">
        <f t="shared" si="18"/>
        <v>414</v>
      </c>
      <c r="AC19" s="134">
        <f t="shared" si="18"/>
        <v>1</v>
      </c>
      <c r="AD19" s="134">
        <f t="shared" si="18"/>
        <v>9</v>
      </c>
      <c r="AE19" s="134">
        <f t="shared" si="18"/>
        <v>9</v>
      </c>
      <c r="AF19" s="134">
        <f t="shared" si="18"/>
        <v>1</v>
      </c>
      <c r="AG19" s="134">
        <f t="shared" si="18"/>
        <v>195</v>
      </c>
      <c r="AH19" s="134">
        <f t="shared" si="18"/>
        <v>247</v>
      </c>
      <c r="AI19" s="134">
        <f t="shared" si="18"/>
        <v>227</v>
      </c>
      <c r="AJ19" s="134">
        <f t="shared" si="18"/>
        <v>215</v>
      </c>
      <c r="AK19" s="134">
        <f t="shared" si="18"/>
        <v>2</v>
      </c>
      <c r="AL19" s="134">
        <f t="shared" si="18"/>
        <v>16</v>
      </c>
      <c r="AM19" s="134">
        <f t="shared" si="18"/>
        <v>16</v>
      </c>
      <c r="AN19" s="209">
        <f t="shared" si="18"/>
        <v>2</v>
      </c>
      <c r="AO19" s="210">
        <v>12</v>
      </c>
      <c r="AP19" s="210">
        <v>12</v>
      </c>
      <c r="AQ19" s="210">
        <v>12</v>
      </c>
      <c r="AR19" s="210">
        <v>12</v>
      </c>
      <c r="AS19" s="152">
        <f t="shared" si="18"/>
        <v>0</v>
      </c>
      <c r="AT19" s="152">
        <f t="shared" si="18"/>
        <v>0</v>
      </c>
      <c r="AU19" s="210"/>
      <c r="AV19" s="211"/>
      <c r="AW19" s="210"/>
      <c r="AX19" s="211"/>
      <c r="AY19" s="133">
        <f>SUBTOTAL(9,AY9:AY18)</f>
        <v>13409</v>
      </c>
      <c r="AZ19" s="134">
        <f>SUBTOTAL(9,AZ9:AZ18)</f>
        <v>4949</v>
      </c>
      <c r="BA19" s="134">
        <f>SUBTOTAL(9,BA9:BA18)</f>
        <v>4755</v>
      </c>
      <c r="BB19" s="134">
        <f>SUBTOTAL(9,BB9:BB18)</f>
        <v>13643</v>
      </c>
      <c r="BC19" s="135">
        <f>SUBTOTAL(9,BC9:BC18)</f>
        <v>1410</v>
      </c>
      <c r="BD19" s="212">
        <f>IF(ISNUMBER(BA19/AZ19),BA19/AZ19," - ")</f>
        <v>0.96080016164881799</v>
      </c>
      <c r="BE19" s="209">
        <f>IF(ISNUMBER(BB19/BA19),BB19/BA19, " - ")</f>
        <v>2.8691903259726605</v>
      </c>
      <c r="BF19" s="209">
        <f>IF(ISNUMBER(BC19/BA19),BC19/BA19, " - ")</f>
        <v>0.29652996845425866</v>
      </c>
      <c r="BG19" s="135">
        <f>IF(ISNUMBER((AY19+AZ19)/BA19),(AY19+AZ19)/BA19," - ")</f>
        <v>3.8607781282860145</v>
      </c>
      <c r="BH19" s="210">
        <f>SUBTOTAL(9,BH9:BH18)</f>
        <v>13</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QFcswPdt0x/f9W5Ff8+vsSozy4pdmFXavhgg37l5KTmc/xeGlOOHDFrJCGoLfpYpYPzWi9Y7KHYTq3nu2EUT9w==" saltValue="SRLDd5ehpIWIw6uRw15wjQ=="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ALBACETE</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GJKg5jrZgnqZ4WvnSXL2lBVVQJNqGtnM9lR8sfz5fHKRsINb0VMFrDaD9Wsq2gZ1Qr83dNZu2LvnFe8QKyRTsA==" saltValue="lfhPPiOlflBuLzZQI2sVAA=="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CASTILLA-LA MANCHA</v>
      </c>
    </row>
    <row r="2" spans="1:78" ht="16.5" customHeight="1">
      <c r="C2" s="487" t="str">
        <f>Criterios!A10 &amp;"  "&amp;Criterios!B10 &amp; "  " &amp; IF(NOT(ISBLANK(Criterios!A11)),Criterios!A11 &amp;"  "&amp;Criterios!B11,"")</f>
        <v>Provincias  ALBACETE  Resumenes por Partidos Judiciales  ALBACETE</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6</v>
      </c>
      <c r="B9" s="500" t="s">
        <v>246</v>
      </c>
      <c r="C9" s="159" t="str">
        <f>Datos!A9</f>
        <v xml:space="preserve">Jdos. 1ª Instancia   </v>
      </c>
      <c r="D9" s="501"/>
      <c r="E9" s="259">
        <f>IF(ISNUMBER(Datos!AQ9),Datos!AQ9," - ")</f>
        <v>6</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f>IF(ISNUMBER(Datos!Z9),Datos!Z9," - ")</f>
        <v>125</v>
      </c>
      <c r="O9" s="333"/>
      <c r="P9" s="333"/>
      <c r="Q9" s="225">
        <f>IF(ISNUMBER(Datos!P9),Datos!P9,0)</f>
        <v>874</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f>IF(ISNUMBER(Datos!Q9),Datos!Q9," - ")</f>
        <v>413</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f>IF(ISNUMBER(Datos!AB9),Datos!AB9,"-")</f>
        <v>244</v>
      </c>
      <c r="AI9" s="333" t="str">
        <f>IF(ISNUMBER(Datos!CD9),Datos!CD9,"-")</f>
        <v>-</v>
      </c>
      <c r="AJ9" s="333" t="str">
        <f>IF(ISNUMBER(Datos!EN9),Datos!EN9," - ")</f>
        <v xml:space="preserve"> - </v>
      </c>
      <c r="AK9" s="333"/>
      <c r="AL9" s="478"/>
      <c r="AM9" s="334">
        <f>IF(ISNUMBER(Datos!R9),Datos!R9," - ")</f>
        <v>10782</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f>IF(ISNUMBER(Datos!M9),Datos!M9," - ")</f>
        <v>609</v>
      </c>
      <c r="BD9" s="228">
        <f>IF(ISNUMBER(Datos!N9),Datos!N9," - ")</f>
        <v>958</v>
      </c>
      <c r="BE9" s="228" t="str">
        <f>IF(ISNUMBER(Datos!BW9),Datos!BW9," - ")</f>
        <v xml:space="preserve"> - </v>
      </c>
      <c r="BF9" s="227" t="str">
        <f>IF(ISNUMBER(Datos!BX9),Datos!BX9," - ")</f>
        <v xml:space="preserve"> - </v>
      </c>
      <c r="BG9" s="242">
        <f>IF(ISNUMBER(IF(J_V="SI",Datos!K9/Datos!J9,(Datos!K9+Datos!AA9)/(Datos!J9+Datos!Z9))),IF(J_V="SI",Datos!K9/Datos!J9,(Datos!K9+Datos!AA9)/(Datos!J9+Datos!Z9))," - ")</f>
        <v>1.5591397849462365</v>
      </c>
      <c r="BH9" s="259">
        <f>IF(ISNUMBER(((IF(J_V="SI",Datos!L9/Datos!K9,(Datos!L9+Datos!AB9)/(Datos!K9+Datos!AA9)))*11)/factor_trimestre),((IF(J_V="SI",Datos!L9/Datos!K9,(Datos!L9+Datos!AB9)/(Datos!K9+Datos!AA9)))*11)/factor_trimestre," - ")</f>
        <v>7.9146551724137932</v>
      </c>
      <c r="BI9" s="242"/>
      <c r="BJ9" s="229" t="str">
        <f>IF(ISNUMBER(Datos!CI9/Datos!CJ9),Datos!CI9/Datos!CJ9," - ")</f>
        <v xml:space="preserve"> - </v>
      </c>
      <c r="BK9" s="359" t="str">
        <f>IF(ISNUMBER(Datos!CJ9),Datos!CJ9," - ")</f>
        <v xml:space="preserve"> - </v>
      </c>
      <c r="BL9" s="229" t="str">
        <f>IF(ISNUMBER((J9-AB9+L9)/(F9)),(J9-AB9+L9)/(F9)," - ")</f>
        <v xml:space="preserve"> - </v>
      </c>
      <c r="BM9" s="610">
        <f>IF(ISNUMBER((Datos!P9-Datos!Q9+Datos!DE9)/(Datos!R9-Datos!P9+Datos!Q9-Datos!DE9)),(Datos!P9-Datos!Q9+Datos!DE9)/(Datos!R9-Datos!P9+Datos!Q9-Datos!DE9)," - ")</f>
        <v>4.4666214514097469E-2</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218.18181818181819</v>
      </c>
      <c r="BZ9" s="1185">
        <f>Datos!EZ9</f>
        <v>0</v>
      </c>
    </row>
    <row r="10" spans="1:78" ht="14.25">
      <c r="A10" s="500">
        <f>Datos!AO10</f>
        <v>1</v>
      </c>
      <c r="B10" s="506" t="s">
        <v>246</v>
      </c>
      <c r="C10" s="7" t="str">
        <f>Datos!A10</f>
        <v>Jdos. Violencia contra la mujer/Secc Viol. TI.</v>
      </c>
      <c r="D10" s="507"/>
      <c r="E10" s="259">
        <f>IF(ISNUMBER(Datos!AQ10),Datos!AQ10," - ")</f>
        <v>1</v>
      </c>
      <c r="F10" s="224">
        <f>IF(ISNUMBER(Datos!L10+Datos!K10-Datos!J10),Datos!L10+Datos!K10-Datos!J10," - ")</f>
        <v>67</v>
      </c>
      <c r="G10" s="332">
        <f>IF(ISNUMBER(Datos!I10),Datos!I10," - ")</f>
        <v>67</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4</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22</v>
      </c>
      <c r="AC10" s="225">
        <f>IF(ISNUMBER(Datos!Q10),Datos!Q10," - ")</f>
        <v>22</v>
      </c>
      <c r="AD10" s="333"/>
      <c r="AE10" s="483"/>
      <c r="AF10" s="331">
        <f>IF(ISNUMBER(Datos!L10),Datos!L10,"-")</f>
        <v>66</v>
      </c>
      <c r="AG10" s="333"/>
      <c r="AH10" s="333"/>
      <c r="AI10" s="333"/>
      <c r="AJ10" s="333"/>
      <c r="AK10" s="333"/>
      <c r="AL10" s="478"/>
      <c r="AM10" s="334">
        <f>IF(ISNUMBER(Datos!R10),Datos!R10," - ")</f>
        <v>45</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9</v>
      </c>
      <c r="BD10" s="228">
        <f>IF(ISNUMBER(Datos!N10),Datos!N10," - ")</f>
        <v>11</v>
      </c>
      <c r="BE10" s="228" t="str">
        <f>IF(ISNUMBER(Datos!BW10),Datos!BW10," - ")</f>
        <v xml:space="preserve"> - </v>
      </c>
      <c r="BF10" s="227" t="str">
        <f>IF(ISNUMBER(Datos!BX10),Datos!BX10," - ")</f>
        <v xml:space="preserve"> - </v>
      </c>
      <c r="BG10" s="242">
        <f>IF(ISNUMBER(Datos!K10/Datos!J10),Datos!K10/Datos!J10," - ")</f>
        <v>1.0476190476190477</v>
      </c>
      <c r="BH10" s="259">
        <f>IF(ISNUMBER(((Datos!L10/Datos!K10)*11)/factor_trimestre),((Datos!L10/Datos!K10)*11)/factor_trimestre," - ")</f>
        <v>6</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-0.2857142857142857</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290.90909090909093</v>
      </c>
      <c r="BZ10" s="1185">
        <f>Datos!EZ10</f>
        <v>0</v>
      </c>
    </row>
    <row r="11" spans="1:78" ht="14.25">
      <c r="A11" s="500">
        <f>Datos!AO11</f>
        <v>2</v>
      </c>
      <c r="B11" s="506" t="s">
        <v>246</v>
      </c>
      <c r="C11" s="7" t="str">
        <f>Datos!A11</f>
        <v xml:space="preserve">Jdos. Familia                                   </v>
      </c>
      <c r="D11" s="507"/>
      <c r="E11" s="259">
        <f>IF(ISNUMBER(Datos!AQ11),Datos!AQ11," - ")</f>
        <v>2</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f>IF(ISNUMBER(Datos!Z11),Datos!Z11," - ")</f>
        <v>223</v>
      </c>
      <c r="O11" s="333"/>
      <c r="P11" s="333"/>
      <c r="Q11" s="225">
        <f>IF(ISNUMBER(Datos!P11),Datos!P11,0)</f>
        <v>26</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f>IF(ISNUMBER(Datos!Q11),Datos!Q11," - ")</f>
        <v>26</v>
      </c>
      <c r="AD11" s="333"/>
      <c r="AE11" s="483"/>
      <c r="AF11" s="331" t="str">
        <f>IF(ISNUMBER(IF(J_V="SI",Datos!L11,Datos!L11+Datos!AB11)-IF(Monitorios="SI",Datos!CD11,0)),
                          IF(J_V="SI",Datos!L11,Datos!L11+Datos!AB11)-IF(Monitorios="SI",Datos!CD11,0),
                          " - ")</f>
        <v xml:space="preserve"> - </v>
      </c>
      <c r="AG11" s="333"/>
      <c r="AH11" s="333">
        <f>IF(ISNUMBER(Datos!AB11),Datos!AB11,"-")</f>
        <v>170</v>
      </c>
      <c r="AI11" s="333"/>
      <c r="AJ11" s="333"/>
      <c r="AK11" s="333"/>
      <c r="AL11" s="478"/>
      <c r="AM11" s="334">
        <f>IF(ISNUMBER(Datos!R11),Datos!R11," - ")</f>
        <v>608</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f>IF(ISNUMBER(Datos!M11),Datos!M11," - ")</f>
        <v>86</v>
      </c>
      <c r="BD11" s="228">
        <f>IF(ISNUMBER(Datos!N11),Datos!N11," - ")</f>
        <v>258</v>
      </c>
      <c r="BE11" s="228" t="str">
        <f>IF(ISNUMBER(Datos!BW11),Datos!BW11," - ")</f>
        <v xml:space="preserve"> - </v>
      </c>
      <c r="BF11" s="227" t="str">
        <f>IF(ISNUMBER(Datos!BX11),Datos!BX11," - ")</f>
        <v xml:space="preserve"> - </v>
      </c>
      <c r="BG11" s="242">
        <f>IF(ISNUMBER(IF(J_V="SI",Datos!K11/Datos!J11,(Datos!K11+Datos!AA11)/(Datos!J11+Datos!Z11))),IF(J_V="SI",Datos!K11/Datos!J11,(Datos!K11+Datos!AA11)/(Datos!J11+Datos!Z11))," - ")</f>
        <v>0.90134529147982068</v>
      </c>
      <c r="BH11" s="259">
        <f>IF(ISNUMBER(((IF(J_V="SI",Datos!L11/Datos!K11,(Datos!L11+Datos!AB11)/(Datos!K11+Datos!AA11)))*11)/factor_trimestre),((IF(J_V="SI",Datos!L11/Datos!K11,(Datos!L11+Datos!AB11)/(Datos!K11+Datos!AA11)))*11)/factor_trimestre," - ")</f>
        <v>3.3383084577114421</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f>IF(ISNUMBER((Datos!P11-Datos!Q11+Datos!DE11)/(Datos!R11-Datos!P11+Datos!Q11-Datos!DE11)),(Datos!P11-Datos!Q11+Datos!DE11)/(Datos!R11-Datos!P11+Datos!Q11-Datos!DE11)," - ")</f>
        <v>0</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240.54545454545453</v>
      </c>
      <c r="BZ11" s="1185">
        <f>Datos!EZ11</f>
        <v>0</v>
      </c>
    </row>
    <row r="12" spans="1:78" ht="15" thickBot="1">
      <c r="A12" s="500">
        <f>Datos!AO12</f>
        <v>0</v>
      </c>
      <c r="B12" s="506" t="s">
        <v>246</v>
      </c>
      <c r="C12" s="7" t="str">
        <f>Datos!A12</f>
        <v xml:space="preserve">Jdos. 1ª Instª. e Instr./Secc. Civil y de Inst. TI                      </v>
      </c>
      <c r="D12" s="507"/>
      <c r="E12" s="259">
        <f>IF(ISNUMBER(Datos!AQ12),Datos!AQ12," - ")</f>
        <v>0</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t="str">
        <f>IF(ISNUMBER(Datos!Z12),Datos!Z12," - ")</f>
        <v xml:space="preserve"> - </v>
      </c>
      <c r="O12" s="333"/>
      <c r="P12" s="333"/>
      <c r="Q12" s="225">
        <f>IF(ISNUMBER(Datos!P12),Datos!P12,0)</f>
        <v>0</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t="str">
        <f>IF(ISNUMBER(Datos!Q12),Datos!Q12," - ")</f>
        <v xml:space="preserve"> - </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t="str">
        <f>IF(ISNUMBER(Datos!AB12),Datos!AB12,"-")</f>
        <v>-</v>
      </c>
      <c r="AI12" s="333" t="str">
        <f>IF(ISNUMBER(Datos!CD12),Datos!CD12,"-")</f>
        <v>-</v>
      </c>
      <c r="AJ12" s="333" t="str">
        <f>IF(ISNUMBER(Datos!EN12),Datos!EN12," - ")</f>
        <v xml:space="preserve"> - </v>
      </c>
      <c r="AK12" s="333"/>
      <c r="AL12" s="478"/>
      <c r="AM12" s="334" t="str">
        <f>IF(ISNUMBER(Datos!R12),Datos!R12," - ")</f>
        <v xml:space="preserve"> - </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t="str">
        <f>IF(ISNUMBER(Datos!M12),Datos!M12," - ")</f>
        <v xml:space="preserve"> - </v>
      </c>
      <c r="BD12" s="228" t="str">
        <f>IF(ISNUMBER(Datos!N12),Datos!N12," - ")</f>
        <v xml:space="preserve"> - </v>
      </c>
      <c r="BE12" s="228" t="str">
        <f>IF(ISNUMBER(Datos!BW12),Datos!BW12," - ")</f>
        <v xml:space="preserve"> - </v>
      </c>
      <c r="BF12" s="227" t="str">
        <f>IF(ISNUMBER(Datos!BX12),Datos!BX12," - ")</f>
        <v xml:space="preserve"> - </v>
      </c>
      <c r="BG12" s="242" t="str">
        <f>IF(ISNUMBER(IF(J_V="SI",Datos!K12/Datos!J12,(Datos!K12+Datos!AA12)/(Datos!J12+Datos!Z12))),IF(J_V="SI",Datos!K12/Datos!J12,(Datos!K12+Datos!AA12)/(Datos!J12+Datos!Z12))," - ")</f>
        <v xml:space="preserve"> - </v>
      </c>
      <c r="BH12" s="259" t="str">
        <f>IF(ISNUMBER(((IF(J_V="SI",Datos!L12/Datos!K12,(Datos!L12+Datos!AB12)/(Datos!K12+Datos!AA12)))*11)/factor_trimestre),((IF(J_V="SI",Datos!L12/Datos!K12,(Datos!L12+Datos!AB12)/(Datos!K12+Datos!AA12)))*11)/factor_trimestre," - ")</f>
        <v xml:space="preserve"> - </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t="str">
        <f>IF(ISNUMBER((Datos!P12-Datos!Q12+Datos!DE12)/(Datos!R12-Datos!P12+Datos!Q12-Datos!DE12)),(Datos!P12-Datos!Q12+Datos!DE12)/(Datos!R12-Datos!P12+Datos!Q12-Datos!DE12)," - ")</f>
        <v xml:space="preserve"> - </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123.63636363636364</v>
      </c>
      <c r="BZ12" s="1185">
        <f>Datos!EZ12</f>
        <v>0</v>
      </c>
    </row>
    <row r="13" spans="1:78" ht="15.75" thickTop="1" thickBot="1">
      <c r="A13" s="177"/>
      <c r="B13" s="177"/>
      <c r="C13" s="862" t="str">
        <f>Datos!A13</f>
        <v>TOTAL</v>
      </c>
      <c r="D13" s="896"/>
      <c r="E13" s="1163">
        <f t="shared" ref="E13:Z13" si="0">SUBTOTAL(9,E8:E12)</f>
        <v>9</v>
      </c>
      <c r="F13" s="897">
        <f t="shared" si="0"/>
        <v>67</v>
      </c>
      <c r="G13" s="897">
        <f t="shared" si="0"/>
        <v>67</v>
      </c>
      <c r="H13" s="898">
        <f t="shared" si="0"/>
        <v>0</v>
      </c>
      <c r="I13" s="897">
        <f t="shared" si="0"/>
        <v>0</v>
      </c>
      <c r="J13" s="866">
        <f t="shared" si="0"/>
        <v>0</v>
      </c>
      <c r="K13" s="866">
        <f t="shared" si="0"/>
        <v>0</v>
      </c>
      <c r="L13" s="898">
        <f t="shared" si="0"/>
        <v>0</v>
      </c>
      <c r="M13" s="898">
        <f t="shared" si="0"/>
        <v>0</v>
      </c>
      <c r="N13" s="898">
        <f t="shared" si="0"/>
        <v>348</v>
      </c>
      <c r="O13" s="899">
        <f t="shared" si="0"/>
        <v>0</v>
      </c>
      <c r="P13" s="899">
        <f t="shared" si="0"/>
        <v>0</v>
      </c>
      <c r="Q13" s="898">
        <f t="shared" si="0"/>
        <v>904</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22</v>
      </c>
      <c r="AC13" s="898">
        <f t="shared" si="1"/>
        <v>461</v>
      </c>
      <c r="AD13" s="898">
        <f t="shared" si="1"/>
        <v>0</v>
      </c>
      <c r="AE13" s="898">
        <f t="shared" si="1"/>
        <v>0</v>
      </c>
      <c r="AF13" s="898">
        <f t="shared" si="1"/>
        <v>66</v>
      </c>
      <c r="AG13" s="898">
        <f t="shared" si="1"/>
        <v>0</v>
      </c>
      <c r="AH13" s="898">
        <f t="shared" si="1"/>
        <v>414</v>
      </c>
      <c r="AI13" s="898">
        <f t="shared" si="1"/>
        <v>0</v>
      </c>
      <c r="AJ13" s="898">
        <f t="shared" si="1"/>
        <v>0</v>
      </c>
      <c r="AK13" s="898">
        <f t="shared" si="1"/>
        <v>0</v>
      </c>
      <c r="AL13" s="898">
        <f t="shared" si="1"/>
        <v>0</v>
      </c>
      <c r="AM13" s="898">
        <f t="shared" si="1"/>
        <v>11435</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704</v>
      </c>
      <c r="BD13" s="898">
        <f t="shared" si="1"/>
        <v>1227</v>
      </c>
      <c r="BE13" s="898">
        <f t="shared" si="1"/>
        <v>0</v>
      </c>
      <c r="BF13" s="898">
        <f t="shared" si="1"/>
        <v>0</v>
      </c>
      <c r="BG13" s="898">
        <f>IF(ISNUMBER(Datos!K13/Datos!J13),Datos!K13/Datos!J13," - ")</f>
        <v>1.5563161169881767</v>
      </c>
      <c r="BH13" s="902">
        <f>IF(ISNUMBER(((Datos!L13/Datos!K13)*11)/factor_trimestre),((Datos!L13/Datos!K13)*11)/factor_trimestre," - ")</f>
        <v>7.60015993602559</v>
      </c>
      <c r="BI13" s="898">
        <f>IF(ISNUMBER('Resol  Asuntos'!D13/NºAsuntos!G13),'Resol  Asuntos'!D13/NºAsuntos!G13," - ")</f>
        <v>0.2565597667638484</v>
      </c>
      <c r="BJ13" s="898" t="str">
        <f>IF(ISNUMBER(Datos!CI13/Datos!CJ13),Datos!CI13/Datos!CJ13," - ")</f>
        <v xml:space="preserve"> - </v>
      </c>
      <c r="BK13" s="898">
        <f>SUBTOTAL(9,BK8:BK12)</f>
        <v>0</v>
      </c>
      <c r="BL13" s="898">
        <f>IF(ISNUMBER((I13-AB13+L13)/(F13)),(I13-AB13+L13)/(F13)," - ")</f>
        <v>-0.32835820895522388</v>
      </c>
      <c r="BM13" s="903">
        <f>SUBTOTAL(9,BM9:BM12)</f>
        <v>-0.24104807120018823</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873.27272727272725</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3</v>
      </c>
      <c r="B15" s="593" t="s">
        <v>396</v>
      </c>
      <c r="C15" s="599" t="str">
        <f>Datos!A15</f>
        <v xml:space="preserve">Jdos. Instrucción                               </v>
      </c>
      <c r="D15" s="600"/>
      <c r="E15" s="1164">
        <f>IF(ISNUMBER(Datos!AQ15),Datos!AQ15," - ")</f>
        <v>3</v>
      </c>
      <c r="F15" s="594">
        <f>IF(ISNUMBER(AF15+AB15-Datos!J15-L15),AF15+AB15-Datos!J15-L15," - ")</f>
        <v>3392</v>
      </c>
      <c r="G15" s="597">
        <f>IF(ISNUMBER(IF(D_I="SI",Datos!I15,Datos!I15+Datos!AC15)),IF(D_I="SI",Datos!I15,Datos!I15+Datos!AC15)," - ")</f>
        <v>3358</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154</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f>IF(ISNUMBER(IF(D_I="SI",Datos!K15,Datos!K15+Datos!AE15)),IF(D_I="SI",Datos!K15,Datos!K15+Datos!AE15)," - ")</f>
        <v>2258</v>
      </c>
      <c r="AC15" s="225">
        <f>IF(ISNUMBER(Datos!Q15),Datos!Q15," - ")</f>
        <v>218</v>
      </c>
      <c r="AD15" s="333"/>
      <c r="AE15" s="483"/>
      <c r="AF15" s="595">
        <f>IF(ISNUMBER(IF(D_I="SI",Datos!L15,Datos!L15+Datos!AF15)),IF(D_I="SI",Datos!L15,Datos!L15+Datos!AF15)," - ")</f>
        <v>3574</v>
      </c>
      <c r="AG15" s="333"/>
      <c r="AH15" s="333"/>
      <c r="AI15" s="333"/>
      <c r="AJ15" s="333"/>
      <c r="AK15" s="333"/>
      <c r="AL15" s="478"/>
      <c r="AM15" s="334">
        <f>IF(ISNUMBER(Datos!R15),Datos!R15," - ")</f>
        <v>938</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f>IF(ISNUMBER(Datos!M15),Datos!M15," - ")</f>
        <v>331</v>
      </c>
      <c r="BD15" s="228">
        <f>IF(ISNUMBER(Datos!N15),Datos!N15," - ")</f>
        <v>1129</v>
      </c>
      <c r="BE15" s="228" t="str">
        <f>IF(ISNUMBER(Datos!BW15),Datos!BW15," - ")</f>
        <v xml:space="preserve"> - </v>
      </c>
      <c r="BF15" s="227" t="str">
        <f>IF(ISNUMBER(Datos!BX15),Datos!BX15," - ")</f>
        <v xml:space="preserve"> - </v>
      </c>
      <c r="BG15" s="242">
        <f>IF(ISNUMBER(IF(D_I="SI",Datos!K15/Datos!J15,(Datos!K15+Datos!AE15)/(Datos!J15+Datos!AD15))),IF(D_I="SI",Datos!K15/Datos!J15,(Datos!K15+Datos!AE15)/(Datos!J15+Datos!AD15))," - ")</f>
        <v>0.92540983606557381</v>
      </c>
      <c r="BH15" s="259">
        <f>IF(ISNUMBER(((IF(D_I="SI",Datos!L15/Datos!K15,(Datos!L15+Datos!AF15)/(Datos!K15+Datos!AE15)))*11)/factor_trimestre),((IF(D_I="SI",Datos!L15/Datos!K15,(Datos!L15+Datos!AF15)/(Datos!K15+Datos!AE15)))*11)/factor_trimestre," - ")</f>
        <v>3.1656333038086801</v>
      </c>
      <c r="BI15" s="242">
        <f>IF(ISNUMBER('Resol  Asuntos'!D15/NºAsuntos!G15),'Resol  Asuntos'!D15/NºAsuntos!G15," - ")</f>
        <v>0.14658990256864482</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600</v>
      </c>
      <c r="BZ15" s="1185">
        <f>Datos!EZ15</f>
        <v>0</v>
      </c>
    </row>
    <row r="16" spans="1:78" s="598" customFormat="1" ht="14.25">
      <c r="A16" s="592">
        <f>Datos!AO16</f>
        <v>0</v>
      </c>
      <c r="B16" s="593" t="s">
        <v>396</v>
      </c>
      <c r="C16" s="599" t="str">
        <f>Datos!A16</f>
        <v xml:space="preserve">Jdos. 1ª Instª. e Instr./Secc. Civil y de Inst. TI                      </v>
      </c>
      <c r="D16" s="600"/>
      <c r="E16" s="1164">
        <f>IF(ISNUMBER(Datos!AQ16),Datos!AQ16," - ")</f>
        <v>0</v>
      </c>
      <c r="F16" s="594" t="str">
        <f>IF(ISNUMBER(AF16+AB16-Datos!J16-L16),AF16+AB16-Datos!J16-L16," - ")</f>
        <v xml:space="preserve"> - </v>
      </c>
      <c r="G16" s="597" t="str">
        <f>IF(ISNUMBER(IF(D_I="SI",Datos!I16,Datos!I16+Datos!AC16)),IF(D_I="SI",Datos!I16,Datos!I16+Datos!AC16)," - ")</f>
        <v xml:space="preserve"> - </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0</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t="str">
        <f>IF(ISNUMBER(IF(D_I="SI",Datos!K16,Datos!K16+Datos!AE16)),IF(D_I="SI",Datos!K16,Datos!K16+Datos!AE16)," - ")</f>
        <v xml:space="preserve"> - </v>
      </c>
      <c r="AC16" s="225" t="str">
        <f>IF(ISNUMBER(Datos!Q16),Datos!Q16," - ")</f>
        <v xml:space="preserve"> - </v>
      </c>
      <c r="AD16" s="333"/>
      <c r="AE16" s="483"/>
      <c r="AF16" s="595" t="str">
        <f>IF(ISNUMBER(IF(D_I="SI",Datos!L16,Datos!L16+Datos!AF16)),IF(D_I="SI",Datos!L16,Datos!L16+Datos!AF16)," - ")</f>
        <v xml:space="preserve"> - </v>
      </c>
      <c r="AG16" s="333"/>
      <c r="AH16" s="333"/>
      <c r="AI16" s="333"/>
      <c r="AJ16" s="333"/>
      <c r="AK16" s="333"/>
      <c r="AL16" s="478"/>
      <c r="AM16" s="334" t="str">
        <f>IF(ISNUMBER(Datos!R16),Datos!R16," - ")</f>
        <v xml:space="preserve"> - </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t="str">
        <f>IF(ISNUMBER(Datos!M16),Datos!M16," - ")</f>
        <v xml:space="preserve"> - </v>
      </c>
      <c r="BD16" s="228" t="str">
        <f>IF(ISNUMBER(Datos!N16),Datos!N16," - ")</f>
        <v xml:space="preserve"> - </v>
      </c>
      <c r="BE16" s="228" t="str">
        <f>IF(ISNUMBER(Datos!BW16),Datos!BW16," - ")</f>
        <v xml:space="preserve"> - </v>
      </c>
      <c r="BF16" s="227" t="str">
        <f>IF(ISNUMBER(Datos!BX16),Datos!BX16," - ")</f>
        <v xml:space="preserve"> - </v>
      </c>
      <c r="BG16" s="242" t="str">
        <f>IF(ISNUMBER(IF(D_I="SI",Datos!K16/Datos!J16,(Datos!K16+Datos!AE16)/(Datos!J16+Datos!AD16))),IF(D_I="SI",Datos!K16/Datos!J16,(Datos!K16+Datos!AE16)/(Datos!J16+Datos!AD16))," - ")</f>
        <v xml:space="preserve"> - </v>
      </c>
      <c r="BH16" s="259" t="str">
        <f>IF(ISNUMBER(((IF(D_I="SI",Datos!L16/Datos!K16,(Datos!L16+Datos!AF16)/(Datos!K16+Datos!AE16)))*11)/factor_trimestre),((IF(D_I="SI",Datos!L16/Datos!K16,(Datos!L16+Datos!AF16)/(Datos!K16+Datos!AE16)))*11)/factor_trimestre," - ")</f>
        <v xml:space="preserve"> - </v>
      </c>
      <c r="BI16" s="242" t="str">
        <f>IF(ISNUMBER('Resol  Asuntos'!D16/NºAsuntos!G16),'Resol  Asuntos'!D16/NºAsuntos!G16," - ")</f>
        <v xml:space="preserve"> - </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181.81818181818181</v>
      </c>
      <c r="BZ16" s="1185">
        <f>Datos!EZ16</f>
        <v>0</v>
      </c>
    </row>
    <row r="17" spans="1:78" ht="15" thickBot="1">
      <c r="A17" s="500">
        <f>Datos!AO17</f>
        <v>1</v>
      </c>
      <c r="B17" s="506" t="s">
        <v>396</v>
      </c>
      <c r="C17" s="7" t="str">
        <f>Datos!A17</f>
        <v>Jdos. Violencia contra la mujer/Secc Viol. TI.</v>
      </c>
      <c r="D17" s="507"/>
      <c r="E17" s="1024">
        <f>IF(ISNUMBER(Datos!AQ17),Datos!AQ17," - ")</f>
        <v>1</v>
      </c>
      <c r="F17" s="224" t="str">
        <f>IF(ISNUMBER(AF17+AB17-I17-L17),AF17+AB17-I17-L17," - ")</f>
        <v xml:space="preserve"> - </v>
      </c>
      <c r="G17" s="332">
        <f>IF(ISNUMBER(IF(D_I="SI",Datos!I17,Datos!I17+Datos!AC17)),IF(D_I="SI",Datos!I17,Datos!I17+Datos!AC17)," - ")</f>
        <v>303</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208</v>
      </c>
      <c r="AC17" s="225">
        <f>IF(ISNUMBER(Datos!Q17),Datos!Q17," - ")</f>
        <v>0</v>
      </c>
      <c r="AD17" s="333"/>
      <c r="AE17" s="483"/>
      <c r="AF17" s="331">
        <f>IF(ISNUMBER(Datos!L17),Datos!L17,"-")</f>
        <v>350</v>
      </c>
      <c r="AG17" s="333"/>
      <c r="AH17" s="333"/>
      <c r="AI17" s="333"/>
      <c r="AJ17" s="333"/>
      <c r="AK17" s="333"/>
      <c r="AL17" s="478"/>
      <c r="AM17" s="334">
        <f>IF(ISNUMBER(Datos!R17),Datos!R17," - ")</f>
        <v>5</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15</v>
      </c>
      <c r="BD17" s="228">
        <f>IF(ISNUMBER(Datos!N17),Datos!N17," - ")</f>
        <v>134</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0.81568627450980391</v>
      </c>
      <c r="BH17" s="259">
        <f>IF(ISNUMBER(((IF(D_I="SI",Datos!L17/Datos!K17,(Datos!L17+Datos!AF17)/(Datos!K17+Datos!AE17)))*11)/factor_trimestre),((IF(D_I="SI",Datos!L17/Datos!K17,(Datos!L17+Datos!AF17)/(Datos!K17+Datos!AE17)))*11)/factor_trimestre," - ")</f>
        <v>3.365384615384615</v>
      </c>
      <c r="BI17" s="242">
        <f>IF(ISNUMBER('Resol  Asuntos'!D17/NºAsuntos!G17),'Resol  Asuntos'!D17/NºAsuntos!G17," - ")</f>
        <v>7.2115384615384609E-2</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290.90909090909093</v>
      </c>
      <c r="BZ17" s="1185">
        <f>Datos!EZ17</f>
        <v>0</v>
      </c>
    </row>
    <row r="18" spans="1:78" ht="15.75" thickTop="1" thickBot="1">
      <c r="A18" s="177"/>
      <c r="B18" s="177"/>
      <c r="C18" s="862" t="str">
        <f>Datos!A18</f>
        <v>TOTAL</v>
      </c>
      <c r="D18" s="896"/>
      <c r="E18" s="1163">
        <f>SUBTOTAL(9,E15:E17)</f>
        <v>4</v>
      </c>
      <c r="F18" s="897">
        <f>SUBTOTAL(9,F15:F17)</f>
        <v>3392</v>
      </c>
      <c r="G18" s="897">
        <f>SUBTOTAL(9,G15:G17)</f>
        <v>3661</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154</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2466</v>
      </c>
      <c r="AC18" s="898">
        <f t="shared" si="4"/>
        <v>218</v>
      </c>
      <c r="AD18" s="898">
        <f t="shared" si="4"/>
        <v>0</v>
      </c>
      <c r="AE18" s="898">
        <f t="shared" si="4"/>
        <v>0</v>
      </c>
      <c r="AF18" s="898">
        <f t="shared" si="4"/>
        <v>3924</v>
      </c>
      <c r="AG18" s="898">
        <f t="shared" si="4"/>
        <v>0</v>
      </c>
      <c r="AH18" s="898">
        <f t="shared" si="4"/>
        <v>0</v>
      </c>
      <c r="AI18" s="898">
        <f t="shared" si="4"/>
        <v>0</v>
      </c>
      <c r="AJ18" s="898">
        <f t="shared" si="4"/>
        <v>0</v>
      </c>
      <c r="AK18" s="898">
        <f t="shared" si="4"/>
        <v>0</v>
      </c>
      <c r="AL18" s="898">
        <f t="shared" si="4"/>
        <v>0</v>
      </c>
      <c r="AM18" s="898">
        <f t="shared" si="4"/>
        <v>943</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346</v>
      </c>
      <c r="BD18" s="898">
        <f t="shared" si="4"/>
        <v>1263</v>
      </c>
      <c r="BE18" s="898">
        <f t="shared" si="4"/>
        <v>0</v>
      </c>
      <c r="BF18" s="898">
        <f t="shared" si="4"/>
        <v>0</v>
      </c>
      <c r="BG18" s="898">
        <f>IF(ISNUMBER(Datos!K18/Datos!J18),Datos!K18/Datos!J18," - ")</f>
        <v>0.91502782931354365</v>
      </c>
      <c r="BH18" s="902">
        <f>IF(ISNUMBER(((Datos!L18/Datos!K18)*11)/factor_trimestre),((Datos!L18/Datos!K18)*11)/factor_trimestre," - ")</f>
        <v>3.1824817518248172</v>
      </c>
      <c r="BI18" s="898">
        <f>SUBTOTAL(9,BI15:BI17)</f>
        <v>0.21870528718402943</v>
      </c>
      <c r="BJ18" s="898">
        <f>SUBTOTAL(9,BJ15:BJ17)</f>
        <v>0</v>
      </c>
      <c r="BK18" s="898">
        <f>SUBTOTAL(9,BK15:BK17)</f>
        <v>0</v>
      </c>
      <c r="BL18" s="898">
        <f>IF(ISNUMBER((I18-AB18+L18)/(F18)),(I18-AB18+L18)/(F18)," - ")</f>
        <v>-0.72700471698113212</v>
      </c>
      <c r="BM18" s="904">
        <f>IF(ISNUMBER((Datos!P18-Datos!Q18)/(Datos!R18-Datos!P18+Datos!Q18)),(Datos!P18-Datos!Q18)/(Datos!R18-Datos!P18+Datos!Q18)," - ")</f>
        <v>-6.3555114200595828E-2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1072.7272727272727</v>
      </c>
      <c r="BZ18" s="1185"/>
    </row>
    <row r="19" spans="1:78" ht="18.75" customHeight="1" thickTop="1" thickBot="1">
      <c r="A19" s="171"/>
      <c r="B19" s="171"/>
      <c r="C19" s="817" t="str">
        <f>Datos!A19</f>
        <v>TOTAL JURISDICCIONES</v>
      </c>
      <c r="D19" s="817"/>
      <c r="E19" s="1165">
        <f t="shared" ref="E19:R19" si="6">SUBTOTAL(9,E9:E18)</f>
        <v>13</v>
      </c>
      <c r="F19" s="819">
        <f t="shared" si="6"/>
        <v>3459</v>
      </c>
      <c r="G19" s="819">
        <f t="shared" si="6"/>
        <v>3728</v>
      </c>
      <c r="H19" s="821">
        <f t="shared" si="6"/>
        <v>0</v>
      </c>
      <c r="I19" s="819">
        <f t="shared" si="6"/>
        <v>0</v>
      </c>
      <c r="J19" s="821">
        <f t="shared" si="6"/>
        <v>0</v>
      </c>
      <c r="K19" s="821">
        <f t="shared" si="6"/>
        <v>0</v>
      </c>
      <c r="L19" s="880">
        <f t="shared" si="6"/>
        <v>0</v>
      </c>
      <c r="M19" s="880">
        <f t="shared" si="6"/>
        <v>0</v>
      </c>
      <c r="N19" s="880">
        <f t="shared" si="6"/>
        <v>348</v>
      </c>
      <c r="O19" s="880">
        <f t="shared" si="6"/>
        <v>0</v>
      </c>
      <c r="P19" s="880">
        <f t="shared" si="6"/>
        <v>0</v>
      </c>
      <c r="Q19" s="821">
        <f t="shared" si="6"/>
        <v>1058</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2488</v>
      </c>
      <c r="AC19" s="820">
        <f t="shared" si="7"/>
        <v>679</v>
      </c>
      <c r="AD19" s="820">
        <f t="shared" si="7"/>
        <v>0</v>
      </c>
      <c r="AE19" s="820">
        <f t="shared" si="7"/>
        <v>0</v>
      </c>
      <c r="AF19" s="827">
        <f t="shared" si="7"/>
        <v>3990</v>
      </c>
      <c r="AG19" s="827">
        <f t="shared" si="7"/>
        <v>0</v>
      </c>
      <c r="AH19" s="827">
        <f t="shared" si="7"/>
        <v>414</v>
      </c>
      <c r="AI19" s="827">
        <f t="shared" si="7"/>
        <v>0</v>
      </c>
      <c r="AJ19" s="820">
        <f t="shared" si="7"/>
        <v>0</v>
      </c>
      <c r="AK19" s="827">
        <f t="shared" si="7"/>
        <v>0</v>
      </c>
      <c r="AL19" s="827">
        <f t="shared" si="7"/>
        <v>0</v>
      </c>
      <c r="AM19" s="827">
        <f t="shared" si="7"/>
        <v>12378</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1050</v>
      </c>
      <c r="BD19" s="819">
        <f t="shared" si="7"/>
        <v>2490</v>
      </c>
      <c r="BE19" s="819">
        <f t="shared" si="7"/>
        <v>0</v>
      </c>
      <c r="BF19" s="829">
        <f t="shared" si="7"/>
        <v>0</v>
      </c>
      <c r="BG19" s="914">
        <f>IF(ISNUMBER(Datos!K19/Datos!J19),Datos!K19/Datos!J19," - ")</f>
        <v>1.1545792654579266</v>
      </c>
      <c r="BH19" s="914">
        <f>IF(ISNUMBER(((Datos!L19/Datos!K19)*11)/factor_trimestre),((Datos!L19/Datos!K19)*11)/factor_trimestre," - ")</f>
        <v>5.4068854439299372</v>
      </c>
      <c r="BI19" s="812">
        <f>IF(ISNUMBER(Datos!J19/Datos!I19),Datos!J19/Datos!I19," - ")</f>
        <v>0.30599615904402871</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-0.71928302977739234</v>
      </c>
      <c r="BM19" s="888">
        <f>IF(ISNUMBER((Datos!P19-Datos!Q19+R19)/(Datos!R19-Datos!P19+Datos!Q19-R19)),(Datos!P19-Datos!Q19+R19)/(Datos!R19-Datos!P19+Datos!Q19-R19)," - ")</f>
        <v>3.1585965497124759E-2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1946</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1491.2</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3.018461712712472</v>
      </c>
      <c r="F21" s="550">
        <f>IF(ISNUMBER(STDEV(F8:F18)),STDEV(F8:F18),"-")</f>
        <v>1919.6896450555057</v>
      </c>
      <c r="G21" s="551">
        <f>IF(ISNUMBER(STDEV(G8:G18)),STDEV(G8:G18),"-")</f>
        <v>1848.0722929582598</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1252.1817759414964</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280.91398446262275</v>
      </c>
      <c r="BD21" s="550"/>
      <c r="BE21" s="550">
        <f>IF(ISNUMBER(STDEV(BE8:BE18)),STDEV(BE8:BE18),"-")</f>
        <v>0</v>
      </c>
      <c r="BF21" s="555">
        <f>IF(ISNUMBER(STDEV(BF8:BF18)),STDEV(BF8:BF18),"-")</f>
        <v>0</v>
      </c>
      <c r="BG21" s="774">
        <f>IF(ISNUMBER(STDEV(BG8:BG18)),STDEV(BG8:BG18),"-")</f>
        <v>0.31799151643278406</v>
      </c>
      <c r="BH21" s="775">
        <f>IF(ISNUMBER(STDEV(BH8:BH18)),STDEV(BH8:BH18),"-")</f>
        <v>2.1729655499950233</v>
      </c>
      <c r="BI21" s="248">
        <f>IF(ISNUMBER(STDEV(BI8:BI18)),STDEV(BI8:BI18),"-")</f>
        <v>8.1538204143405082E-2</v>
      </c>
      <c r="BJ21" s="229" t="str">
        <f>IF(ISNUMBER(BL21/BM21),BL21/BM21," - ")</f>
        <v xml:space="preserve"> - </v>
      </c>
      <c r="BK21" s="574"/>
      <c r="BL21" s="558">
        <f>IF(ISNUMBER(STDEV(BL8:BL18)),STDEV(BL8:BL18),"-")</f>
        <v>0.28188564912145725</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337.88694513865602</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09 dic. 2025</v>
      </c>
    </row>
    <row r="32" spans="1:78">
      <c r="C32" s="526"/>
      <c r="D32" s="526"/>
    </row>
  </sheetData>
  <sheetProtection algorithmName="SHA-512" hashValue="GslGnCfxYTu4KrOM4wkXFPyTb6PWC9FYYhMA+Eg4QshXUtxm7eilr95aNEPpL/FfHEN1qHtOFmSgHHB4WHTerA==" saltValue="fUMuv5xpHOz9Sh2jB9SYL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CASTILLA-LA MANCHA</v>
      </c>
    </row>
    <row r="2" spans="1:78" ht="16.5" customHeight="1">
      <c r="C2" s="527" t="str">
        <f>Criterios!A10 &amp;"  "&amp;Criterios!B10 &amp; "  " &amp; IF(NOT(ISBLANK(Criterios!A11)),Criterios!A11 &amp;"  "&amp;Criterios!B11,"")</f>
        <v>Provincias  ALBACETE  Resumenes por Partidos Judiciales  ALBACETE</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3 al 3</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6</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874</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f>IF(ISNUMBER(Datos!Q9),Datos!Q9," - ")</f>
        <v>413</v>
      </c>
      <c r="AA9" s="331" t="str">
        <f>IF(ISNUMBER(IF(J_V="SI",Datos!L9,Datos!L9+Datos!AB9)-IF(Monitorios="SI",Datos!CD9,0)),
                          IF(J_V="SI",Datos!L9,Datos!L9+Datos!AB9)-IF(Monitorios="SI",Datos!CD9,0),
                          " - ")</f>
        <v xml:space="preserve"> - </v>
      </c>
      <c r="AB9" s="333"/>
      <c r="AC9" s="333"/>
      <c r="AD9" s="483"/>
      <c r="AE9" s="483">
        <f>IF(ISNUMBER(Datos!R9),Datos!R9," - ")</f>
        <v>10782</v>
      </c>
      <c r="AF9" s="228" t="str">
        <f>IF(ISNUMBER(Datos!BV9),Datos!BV9," - ")</f>
        <v xml:space="preserve"> - </v>
      </c>
      <c r="AG9" s="224" t="str">
        <f>IF(ISNUMBER(Datos!DV9),Datos!DV9," - ")</f>
        <v xml:space="preserve"> - </v>
      </c>
      <c r="AH9" s="297"/>
      <c r="AI9" s="226"/>
      <c r="AJ9" s="224">
        <f>IF(ISNUMBER(Datos!M9),Datos!M9," - ")</f>
        <v>609</v>
      </c>
      <c r="AK9" s="228">
        <f>IF(ISNUMBER(Datos!N9),Datos!N9," - ")</f>
        <v>958</v>
      </c>
      <c r="AL9" s="228" t="str">
        <f>IF(ISNUMBER(Datos!BW9),Datos!BW9," - ")</f>
        <v xml:space="preserve"> - </v>
      </c>
      <c r="AM9" s="227" t="str">
        <f>IF(ISNUMBER(Datos!BX9),Datos!BX9," - ")</f>
        <v xml:space="preserve"> - </v>
      </c>
      <c r="AN9" s="242"/>
      <c r="AO9" s="259">
        <f>IF(ISNUMBER(((NºAsuntos!I9/NºAsuntos!G9)*11)/factor_trimestre),((NºAsuntos!I9/NºAsuntos!G9)*11)/factor_trimestre," - ")</f>
        <v>7.9146551724137932</v>
      </c>
      <c r="AP9" s="229" t="str">
        <f>IF(ISNUMBER(Datos!CI9/Datos!CJ9),Datos!CI9/Datos!CJ9," - ")</f>
        <v xml:space="preserve"> - </v>
      </c>
      <c r="AQ9" s="229" t="str">
        <f>IF(ISNUMBER((J9-Y9+K9)/(F9)),(J9-Y9+K9)/(F9)," - ")</f>
        <v xml:space="preserve"> - </v>
      </c>
      <c r="AR9" s="229">
        <f>IF(ISNUMBER((Datos!P9-Datos!Q9+Datos!DE9)/(Datos!R9-Datos!P9+Datos!Q9-Datos!DE9)),(Datos!P9-Datos!Q9+Datos!DE9)/(Datos!R9-Datos!P9+Datos!Q9-Datos!DE9)," - ")</f>
        <v>4.4666214514097469E-2</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218.18181818181819</v>
      </c>
      <c r="BZ9" s="1185">
        <f>Datos!EZ9</f>
        <v>0</v>
      </c>
    </row>
    <row r="10" spans="1:78" ht="14.25">
      <c r="A10" s="500">
        <f>Datos!AO10</f>
        <v>1</v>
      </c>
      <c r="B10" s="506" t="s">
        <v>246</v>
      </c>
      <c r="C10" s="7" t="str">
        <f>Datos!A10</f>
        <v>Jdos. Violencia contra la mujer/Secc Viol. TI.</v>
      </c>
      <c r="D10" s="507"/>
      <c r="E10" s="1167">
        <f>IF(ISNUMBER(Datos!AQ10),Datos!AQ10," - ")</f>
        <v>1</v>
      </c>
      <c r="F10" s="224">
        <f>IF(ISNUMBER(Datos!L10+Datos!K10-Datos!J10),Datos!L10+Datos!K10-Datos!J10," - ")</f>
        <v>67</v>
      </c>
      <c r="G10" s="224">
        <f>IF(ISNUMBER(Datos!I10),Datos!I10," - ")</f>
        <v>67</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4</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22</v>
      </c>
      <c r="Z10" s="618">
        <f>IF(ISNUMBER(Datos!Q10),Datos!Q10," - ")</f>
        <v>22</v>
      </c>
      <c r="AA10" s="331">
        <f>IF(ISNUMBER(Datos!L10),Datos!L10,"-")</f>
        <v>66</v>
      </c>
      <c r="AB10" s="333"/>
      <c r="AC10" s="333"/>
      <c r="AD10" s="483"/>
      <c r="AE10" s="483">
        <f>IF(ISNUMBER(Datos!R10),Datos!R10," - ")</f>
        <v>45</v>
      </c>
      <c r="AF10" s="228" t="str">
        <f>IF(ISNUMBER(Datos!BV10),Datos!BV10," - ")</f>
        <v xml:space="preserve"> - </v>
      </c>
      <c r="AG10" s="224" t="str">
        <f>IF(ISNUMBER(Datos!DV10),Datos!DV10," - ")</f>
        <v xml:space="preserve"> - </v>
      </c>
      <c r="AH10" s="297"/>
      <c r="AI10" s="226"/>
      <c r="AJ10" s="224">
        <f>IF(ISNUMBER(Datos!M10),Datos!M10," - ")</f>
        <v>9</v>
      </c>
      <c r="AK10" s="228">
        <f>IF(ISNUMBER(Datos!N10),Datos!N10," - ")</f>
        <v>11</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6</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-0.2857142857142857</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290.90909090909093</v>
      </c>
      <c r="BZ10" s="1185">
        <f>Datos!EZ10</f>
        <v>0</v>
      </c>
    </row>
    <row r="11" spans="1:78" ht="14.25">
      <c r="A11" s="500">
        <f>Datos!AO11</f>
        <v>2</v>
      </c>
      <c r="B11" s="506" t="s">
        <v>246</v>
      </c>
      <c r="C11" s="7" t="str">
        <f>Datos!A11</f>
        <v xml:space="preserve">Jdos. Familia                                   </v>
      </c>
      <c r="D11" s="507"/>
      <c r="E11" s="1167">
        <f>IF(ISNUMBER(Datos!AQ11),Datos!AQ11," - ")</f>
        <v>2</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26</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f>IF(ISNUMBER(Datos!Q11),Datos!Q11," - ")</f>
        <v>26</v>
      </c>
      <c r="AA11" s="331" t="str">
        <f>IF(ISNUMBER(IF(J_V="SI",Datos!L11,Datos!L11+Datos!AB11)-IF(Monitorios="SI",Datos!CD11,0)),
                          IF(J_V="SI",Datos!L11,Datos!L11+Datos!AB11)-IF(Monitorios="SI",Datos!CD11,0),
                          " - ")</f>
        <v xml:space="preserve"> - </v>
      </c>
      <c r="AB11" s="333"/>
      <c r="AC11" s="333"/>
      <c r="AD11" s="483"/>
      <c r="AE11" s="483">
        <f>IF(ISNUMBER(Datos!R11),Datos!R11," - ")</f>
        <v>608</v>
      </c>
      <c r="AF11" s="228" t="str">
        <f>IF(ISNUMBER(Datos!BV11),Datos!BV11," - ")</f>
        <v xml:space="preserve"> - </v>
      </c>
      <c r="AG11" s="224" t="str">
        <f>IF(ISNUMBER(Datos!DV11),Datos!DV11," - ")</f>
        <v xml:space="preserve"> - </v>
      </c>
      <c r="AH11" s="297"/>
      <c r="AI11" s="226"/>
      <c r="AJ11" s="224">
        <f>IF(ISNUMBER(Datos!M11),Datos!M11," - ")</f>
        <v>86</v>
      </c>
      <c r="AK11" s="228">
        <f>IF(ISNUMBER(Datos!N11),Datos!N11," - ")</f>
        <v>258</v>
      </c>
      <c r="AL11" s="228" t="str">
        <f>IF(ISNUMBER(Datos!BW11),Datos!BW11," - ")</f>
        <v xml:space="preserve"> - </v>
      </c>
      <c r="AM11" s="227" t="str">
        <f>IF(ISNUMBER(Datos!BX11),Datos!BX11," - ")</f>
        <v xml:space="preserve"> - </v>
      </c>
      <c r="AN11" s="242"/>
      <c r="AO11" s="259">
        <f>IF(ISNUMBER(((NºAsuntos!I11/NºAsuntos!G11)*11)/factor_trimestre),((NºAsuntos!I11/NºAsuntos!G11)*11)/factor_trimestre," - ")</f>
        <v>3.3383084577114421</v>
      </c>
      <c r="AP11" s="229" t="str">
        <f>IF(ISNUMBER(Datos!CI11/Datos!CJ11),Datos!CI11/Datos!CJ11," - ")</f>
        <v xml:space="preserve"> - </v>
      </c>
      <c r="AQ11" s="229" t="str">
        <f>IF(ISNUMBER((I11-Y11+K11)/(F11)),(I11-Y11+K11)/(F11)," - ")</f>
        <v xml:space="preserve"> - </v>
      </c>
      <c r="AR11" s="229">
        <f>IF(ISNUMBER((Datos!P11-Datos!Q11+Datos!DE11)/(Datos!R11-Datos!P11+Datos!Q11-Datos!DE11)),(Datos!P11-Datos!Q11+Datos!DE11)/(Datos!R11-Datos!P11+Datos!Q11-Datos!DE11)," - ")</f>
        <v>0</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240.54545454545453</v>
      </c>
      <c r="BZ11" s="1185">
        <f>Datos!EZ11</f>
        <v>0</v>
      </c>
    </row>
    <row r="12" spans="1:78" ht="15" thickBot="1">
      <c r="A12" s="500">
        <f>Datos!AO12</f>
        <v>0</v>
      </c>
      <c r="B12" s="506" t="s">
        <v>246</v>
      </c>
      <c r="C12" s="7" t="str">
        <f>Datos!A12</f>
        <v xml:space="preserve">Jdos. 1ª Instª. e Instr./Secc. Civil y de Inst. TI                      </v>
      </c>
      <c r="D12" s="507"/>
      <c r="E12" s="1167">
        <f>IF(ISNUMBER(Datos!AQ12),Datos!AQ12," - ")</f>
        <v>0</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0</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t="str">
        <f>IF(ISNUMBER(Datos!Q12),Datos!Q12," - ")</f>
        <v xml:space="preserve"> - </v>
      </c>
      <c r="AA12" s="331" t="str">
        <f>IF(ISNUMBER(IF(J_V="SI",Datos!L12,Datos!L12+Datos!AB12)-IF(Monitorios="SI",Datos!CD12,0)),
                          IF(J_V="SI",Datos!L12,Datos!L12+Datos!AB12)-IF(Monitorios="SI",Datos!CD12,0),
                          " - ")</f>
        <v xml:space="preserve"> - </v>
      </c>
      <c r="AB12" s="333"/>
      <c r="AC12" s="333"/>
      <c r="AD12" s="483"/>
      <c r="AE12" s="483" t="str">
        <f>IF(ISNUMBER(Datos!R12),Datos!R12," - ")</f>
        <v xml:space="preserve"> - </v>
      </c>
      <c r="AF12" s="228" t="str">
        <f>IF(ISNUMBER(Datos!BV12),Datos!BV12," - ")</f>
        <v xml:space="preserve"> - </v>
      </c>
      <c r="AG12" s="224" t="str">
        <f>IF(ISNUMBER(Datos!DV12),Datos!DV12," - ")</f>
        <v xml:space="preserve"> - </v>
      </c>
      <c r="AH12" s="297"/>
      <c r="AI12" s="226"/>
      <c r="AJ12" s="224" t="str">
        <f>IF(ISNUMBER(Datos!M12),Datos!M12," - ")</f>
        <v xml:space="preserve"> - </v>
      </c>
      <c r="AK12" s="228" t="str">
        <f>IF(ISNUMBER(Datos!N12),Datos!N12," - ")</f>
        <v xml:space="preserve"> - </v>
      </c>
      <c r="AL12" s="228" t="str">
        <f>IF(ISNUMBER(Datos!BW12),Datos!BW12," - ")</f>
        <v xml:space="preserve"> - </v>
      </c>
      <c r="AM12" s="227" t="str">
        <f>IF(ISNUMBER(Datos!BX12),Datos!BX12," - ")</f>
        <v xml:space="preserve"> - </v>
      </c>
      <c r="AN12" s="242"/>
      <c r="AO12" s="259" t="str">
        <f>IF(ISNUMBER(((NºAsuntos!I12/NºAsuntos!G12)*11)/factor_trimestre),((NºAsuntos!I12/NºAsuntos!G12)*11)/factor_trimestre," - ")</f>
        <v xml:space="preserve"> - </v>
      </c>
      <c r="AP12" s="229" t="str">
        <f>IF(ISNUMBER(Datos!CI12/Datos!CJ12),Datos!CI12/Datos!CJ12," - ")</f>
        <v xml:space="preserve"> - </v>
      </c>
      <c r="AQ12" s="229" t="str">
        <f>IF(ISNUMBER((I12-Y12+K12)/(F12)),(I12-Y12+K12)/(F12)," - ")</f>
        <v xml:space="preserve"> - </v>
      </c>
      <c r="AR12" s="229" t="str">
        <f>IF(ISNUMBER((Datos!P12-Datos!Q12+Datos!DE12)/(Datos!R12-Datos!P12+Datos!Q12-Datos!DE12)),(Datos!P12-Datos!Q12+Datos!DE12)/(Datos!R12-Datos!P12+Datos!Q12-Datos!DE12)," - ")</f>
        <v xml:space="preserve"> - </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123.63636363636364</v>
      </c>
      <c r="BZ12" s="1185">
        <f>Datos!EZ12</f>
        <v>0</v>
      </c>
    </row>
    <row r="13" spans="1:78" ht="15.75" thickTop="1" thickBot="1">
      <c r="A13" s="177"/>
      <c r="B13" s="177"/>
      <c r="C13" s="862" t="str">
        <f>Datos!A13</f>
        <v>TOTAL</v>
      </c>
      <c r="D13" s="862"/>
      <c r="E13" s="897">
        <f>SUBTOTAL(9,E8:E12)</f>
        <v>9</v>
      </c>
      <c r="F13" s="897">
        <f>SUBTOTAL(9,F8:F12)</f>
        <v>67</v>
      </c>
      <c r="G13" s="897">
        <f>SUBTOTAL(9,G8:G12)</f>
        <v>67</v>
      </c>
      <c r="H13" s="907"/>
      <c r="I13" s="897">
        <f t="shared" ref="I13:N13" si="0">SUBTOTAL(9,I8:I12)</f>
        <v>0</v>
      </c>
      <c r="J13" s="866">
        <f t="shared" si="0"/>
        <v>0</v>
      </c>
      <c r="K13" s="907">
        <f t="shared" si="0"/>
        <v>0</v>
      </c>
      <c r="L13" s="907">
        <f t="shared" si="0"/>
        <v>0</v>
      </c>
      <c r="M13" s="907">
        <f t="shared" si="0"/>
        <v>0</v>
      </c>
      <c r="N13" s="907">
        <f t="shared" si="0"/>
        <v>904</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22</v>
      </c>
      <c r="Z13" s="906">
        <f t="shared" si="2"/>
        <v>461</v>
      </c>
      <c r="AA13" s="899">
        <f t="shared" si="2"/>
        <v>66</v>
      </c>
      <c r="AB13" s="899">
        <f t="shared" si="2"/>
        <v>0</v>
      </c>
      <c r="AC13" s="899">
        <f t="shared" si="2"/>
        <v>0</v>
      </c>
      <c r="AD13" s="899">
        <f t="shared" si="2"/>
        <v>0</v>
      </c>
      <c r="AE13" s="899">
        <f t="shared" si="2"/>
        <v>11435</v>
      </c>
      <c r="AF13" s="907">
        <f t="shared" si="2"/>
        <v>0</v>
      </c>
      <c r="AG13" s="907">
        <f t="shared" si="2"/>
        <v>0</v>
      </c>
      <c r="AH13" s="907">
        <f t="shared" si="2"/>
        <v>0</v>
      </c>
      <c r="AI13" s="907">
        <f t="shared" si="2"/>
        <v>0</v>
      </c>
      <c r="AJ13" s="907">
        <f t="shared" si="2"/>
        <v>704</v>
      </c>
      <c r="AK13" s="907">
        <f t="shared" si="2"/>
        <v>1227</v>
      </c>
      <c r="AL13" s="907">
        <f t="shared" si="2"/>
        <v>0</v>
      </c>
      <c r="AM13" s="907">
        <f t="shared" si="2"/>
        <v>0</v>
      </c>
      <c r="AN13" s="907">
        <f t="shared" si="2"/>
        <v>0</v>
      </c>
      <c r="AO13" s="903">
        <f>IF(ISNUMBER(((NºAsuntos!I13/NºAsuntos!G13)*11)/factor_trimestre),((NºAsuntos!I13/NºAsuntos!G13)*11)/factor_trimestre," - ")</f>
        <v>7.2288629737609336</v>
      </c>
      <c r="AP13" s="909" t="str">
        <f>IF(ISNUMBER(Datos!CI13/Datos!CJ13),Datos!CI13/Datos!CJ13," - ")</f>
        <v xml:space="preserve"> - </v>
      </c>
      <c r="AQ13" s="927">
        <f t="shared" ref="AQ13:AV13" si="3">SUBTOTAL(9,AQ9:AQ12)</f>
        <v>0</v>
      </c>
      <c r="AR13" s="927">
        <f t="shared" si="3"/>
        <v>-0.24104807120018823</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3</v>
      </c>
      <c r="B15" s="506" t="s">
        <v>396</v>
      </c>
      <c r="C15" s="159" t="str">
        <f>Datos!A15</f>
        <v xml:space="preserve">Jdos. Instrucción                               </v>
      </c>
      <c r="D15" s="501"/>
      <c r="E15" s="1167">
        <f>IF(ISNUMBER(Datos!AQ15),Datos!AQ15," - ")</f>
        <v>3</v>
      </c>
      <c r="F15" s="332">
        <f>IF(ISNUMBER(AA15+Y15-Datos!J15-K15),AA15+Y15-Datos!J15-K15," - ")</f>
        <v>3392</v>
      </c>
      <c r="G15" s="224">
        <f>IF(ISNUMBER(IF(D_I="SI",Datos!I15,Datos!I15+Datos!AC15)),IF(D_I="SI",Datos!I15,Datos!I15+Datos!AC15)," - ")</f>
        <v>3358</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154</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f>IF(ISNUMBER(IF(D_I="SI",Datos!K15,Datos!K15+Datos!AE15)),IF(D_I="SI",Datos!K15,Datos!K15+Datos!AE15)," - ")</f>
        <v>2258</v>
      </c>
      <c r="Z15" s="618">
        <f>IF(ISNUMBER(Datos!Q15),Datos!Q15," - ")</f>
        <v>218</v>
      </c>
      <c r="AA15" s="331">
        <f>IF(ISNUMBER(IF(D_I="SI",Datos!L15,Datos!L15+Datos!AF15)),IF(D_I="SI",Datos!L15,Datos!L15+Datos!AF15)," - ")</f>
        <v>3574</v>
      </c>
      <c r="AB15" s="333"/>
      <c r="AC15" s="333"/>
      <c r="AD15" s="483"/>
      <c r="AE15" s="483">
        <f>IF(ISNUMBER(Datos!R15),Datos!R15," - ")</f>
        <v>938</v>
      </c>
      <c r="AF15" s="228" t="str">
        <f>IF(ISNUMBER(Datos!BV15),Datos!BV15," - ")</f>
        <v xml:space="preserve"> - </v>
      </c>
      <c r="AG15" s="224"/>
      <c r="AH15" s="297"/>
      <c r="AI15" s="226"/>
      <c r="AJ15" s="224">
        <f>IF(ISNUMBER(Datos!M15),Datos!M15," - ")</f>
        <v>331</v>
      </c>
      <c r="AK15" s="228">
        <f>IF(ISNUMBER(Datos!N15),Datos!N15," - ")</f>
        <v>1129</v>
      </c>
      <c r="AL15" s="228" t="str">
        <f>IF(ISNUMBER(Datos!BW15),Datos!BW15," - ")</f>
        <v xml:space="preserve"> - </v>
      </c>
      <c r="AM15" s="227" t="str">
        <f>IF(ISNUMBER(Datos!BX15),Datos!BX15," - ")</f>
        <v xml:space="preserve"> - </v>
      </c>
      <c r="AN15" s="242"/>
      <c r="AO15" s="259">
        <f>IF(ISNUMBER(((NºAsuntos!I15/NºAsuntos!G15)*11)/factor_trimestre),((NºAsuntos!I15/NºAsuntos!G15)*11)/factor_trimestre," - ")</f>
        <v>3.1656333038086801</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600</v>
      </c>
      <c r="BZ15" s="1185">
        <f>Datos!EZ15</f>
        <v>0</v>
      </c>
    </row>
    <row r="16" spans="1:78" ht="14.25">
      <c r="A16" s="500">
        <f>Datos!AO16</f>
        <v>0</v>
      </c>
      <c r="B16" s="506" t="s">
        <v>396</v>
      </c>
      <c r="C16" s="159" t="str">
        <f>Datos!A16</f>
        <v xml:space="preserve">Jdos. 1ª Instª. e Instr./Secc. Civil y de Inst. TI                      </v>
      </c>
      <c r="D16" s="501"/>
      <c r="E16" s="1167">
        <f>IF(ISNUMBER(Datos!AQ16),Datos!AQ16," - ")</f>
        <v>0</v>
      </c>
      <c r="F16" s="332" t="str">
        <f>IF(ISNUMBER(AA16+Y16-Datos!J16-K15),AA16+Y16-Datos!J16-K15," - ")</f>
        <v xml:space="preserve"> - </v>
      </c>
      <c r="G16" s="224" t="str">
        <f>IF(ISNUMBER(IF(D_I="SI",Datos!I16,Datos!I16+Datos!AC16)),IF(D_I="SI",Datos!I16,Datos!I16+Datos!AC16)," - ")</f>
        <v xml:space="preserve"> - </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0</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t="str">
        <f>IF(ISNUMBER(IF(D_I="SI",Datos!K16,Datos!K16+Datos!AE16)),IF(D_I="SI",Datos!K16,Datos!K16+Datos!AE16)," - ")</f>
        <v xml:space="preserve"> - </v>
      </c>
      <c r="Z16" s="618" t="str">
        <f>IF(ISNUMBER(Datos!Q16),Datos!Q16," - ")</f>
        <v xml:space="preserve"> - </v>
      </c>
      <c r="AA16" s="331" t="str">
        <f>IF(ISNUMBER(IF(D_I="SI",Datos!L16,Datos!L16+Datos!AF16)),IF(D_I="SI",Datos!L16,Datos!L16+Datos!AF16)," - ")</f>
        <v xml:space="preserve"> - </v>
      </c>
      <c r="AB16" s="333"/>
      <c r="AC16" s="333"/>
      <c r="AD16" s="483"/>
      <c r="AE16" s="483" t="str">
        <f>IF(ISNUMBER(Datos!R16),Datos!R16," - ")</f>
        <v xml:space="preserve"> - </v>
      </c>
      <c r="AF16" s="228" t="str">
        <f>IF(ISNUMBER(Datos!BV16),Datos!BV16," - ")</f>
        <v xml:space="preserve"> - </v>
      </c>
      <c r="AG16" s="224"/>
      <c r="AH16" s="297"/>
      <c r="AI16" s="226"/>
      <c r="AJ16" s="224" t="str">
        <f>IF(ISNUMBER(Datos!M16),Datos!M16," - ")</f>
        <v xml:space="preserve"> - </v>
      </c>
      <c r="AK16" s="228" t="str">
        <f>IF(ISNUMBER(Datos!N16),Datos!N16," - ")</f>
        <v xml:space="preserve"> - </v>
      </c>
      <c r="AL16" s="228" t="str">
        <f>IF(ISNUMBER(Datos!BW16),Datos!BW16," - ")</f>
        <v xml:space="preserve"> - </v>
      </c>
      <c r="AM16" s="227" t="str">
        <f>IF(ISNUMBER(Datos!BX16),Datos!BX16," - ")</f>
        <v xml:space="preserve"> - </v>
      </c>
      <c r="AN16" s="242"/>
      <c r="AO16" s="259" t="str">
        <f>IF(ISNUMBER(((NºAsuntos!I16/NºAsuntos!G16)*11)/factor_trimestre),((NºAsuntos!I16/NºAsuntos!G16)*11)/factor_trimestre," - ")</f>
        <v xml:space="preserve"> - </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181.81818181818181</v>
      </c>
      <c r="BZ16" s="1185">
        <f>Datos!EZ16</f>
        <v>0</v>
      </c>
    </row>
    <row r="17" spans="1:78" ht="15" thickBot="1">
      <c r="A17" s="500">
        <f>Datos!AO17</f>
        <v>1</v>
      </c>
      <c r="B17" s="506" t="s">
        <v>396</v>
      </c>
      <c r="C17" s="7" t="str">
        <f>Datos!A17</f>
        <v>Jdos. Violencia contra la mujer/Secc Viol. TI.</v>
      </c>
      <c r="D17" s="507"/>
      <c r="E17" s="1167">
        <f>IF(ISNUMBER(Datos!AQ17),Datos!AQ17," - ")</f>
        <v>1</v>
      </c>
      <c r="F17" s="224" t="str">
        <f>IF(ISNUMBER(AA17+Y17-I17-K17),AA17+Y17-I17-K17," - ")</f>
        <v xml:space="preserve"> - </v>
      </c>
      <c r="G17" s="522">
        <f>IF(ISNUMBER(IF(D_I="SI",Datos!I17,Datos!I17+Datos!AC17)),IF(D_I="SI",Datos!I17,Datos!I17+Datos!AC17)," - ")</f>
        <v>303</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208</v>
      </c>
      <c r="Z17" s="618">
        <f>IF(ISNUMBER(Datos!Q17),Datos!Q17," - ")</f>
        <v>0</v>
      </c>
      <c r="AA17" s="331">
        <f>IF(ISNUMBER(Datos!L17),Datos!L17,"-")</f>
        <v>350</v>
      </c>
      <c r="AB17" s="333"/>
      <c r="AC17" s="333"/>
      <c r="AD17" s="483"/>
      <c r="AE17" s="483">
        <f>IF(ISNUMBER(Datos!R17),Datos!R17," - ")</f>
        <v>5</v>
      </c>
      <c r="AF17" s="228" t="str">
        <f>IF(ISNUMBER(Datos!BV17),Datos!BV17," - ")</f>
        <v xml:space="preserve"> - </v>
      </c>
      <c r="AG17" s="224" t="str">
        <f>IF(ISNUMBER(Datos!DV17),Datos!DV17," - ")</f>
        <v xml:space="preserve"> - </v>
      </c>
      <c r="AH17" s="297"/>
      <c r="AI17" s="226"/>
      <c r="AJ17" s="224">
        <f>IF(ISNUMBER(Datos!M17),Datos!M17," - ")</f>
        <v>15</v>
      </c>
      <c r="AK17" s="228">
        <f>IF(ISNUMBER(Datos!N17),Datos!N17," - ")</f>
        <v>134</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3.365384615384615</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290.90909090909093</v>
      </c>
      <c r="BZ17" s="1185">
        <f>Datos!EZ17</f>
        <v>0</v>
      </c>
    </row>
    <row r="18" spans="1:78" ht="15.75" thickTop="1" thickBot="1">
      <c r="A18" s="177"/>
      <c r="B18" s="177"/>
      <c r="C18" s="862" t="str">
        <f>Datos!A18</f>
        <v>TOTAL</v>
      </c>
      <c r="D18" s="862"/>
      <c r="E18" s="1168">
        <f>SUBTOTAL(9,E15:E17)</f>
        <v>4</v>
      </c>
      <c r="F18" s="897">
        <f>SUBTOTAL(9,F15:F17)</f>
        <v>3392</v>
      </c>
      <c r="G18" s="897">
        <f>SUBTOTAL(9,G15:G17)</f>
        <v>3661</v>
      </c>
      <c r="H18" s="931">
        <f>SUBTOTAL(9,H15:H17)</f>
        <v>0</v>
      </c>
      <c r="I18" s="910">
        <f>SUBTOTAL(9,I15:I17)</f>
        <v>0</v>
      </c>
      <c r="J18" s="866">
        <f>SUBTOTAL(9,J14:J17)</f>
        <v>0</v>
      </c>
      <c r="K18" s="931">
        <f t="shared" ref="K18:S18" si="4">SUBTOTAL(9,K15:K17)</f>
        <v>0</v>
      </c>
      <c r="L18" s="931">
        <f t="shared" si="4"/>
        <v>0</v>
      </c>
      <c r="M18" s="931">
        <f t="shared" si="4"/>
        <v>0</v>
      </c>
      <c r="N18" s="931">
        <f t="shared" si="4"/>
        <v>154</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2466</v>
      </c>
      <c r="Z18" s="931">
        <f t="shared" si="5"/>
        <v>218</v>
      </c>
      <c r="AA18" s="931">
        <f t="shared" si="5"/>
        <v>3924</v>
      </c>
      <c r="AB18" s="931">
        <f t="shared" si="5"/>
        <v>0</v>
      </c>
      <c r="AC18" s="931">
        <f t="shared" si="5"/>
        <v>0</v>
      </c>
      <c r="AD18" s="931">
        <f t="shared" si="5"/>
        <v>0</v>
      </c>
      <c r="AE18" s="931">
        <f t="shared" si="5"/>
        <v>943</v>
      </c>
      <c r="AF18" s="931">
        <f t="shared" si="5"/>
        <v>0</v>
      </c>
      <c r="AG18" s="931">
        <f t="shared" si="5"/>
        <v>0</v>
      </c>
      <c r="AH18" s="931">
        <f t="shared" si="5"/>
        <v>0</v>
      </c>
      <c r="AI18" s="931">
        <f t="shared" si="5"/>
        <v>0</v>
      </c>
      <c r="AJ18" s="931">
        <f t="shared" si="5"/>
        <v>346</v>
      </c>
      <c r="AK18" s="931">
        <f t="shared" si="5"/>
        <v>1263</v>
      </c>
      <c r="AL18" s="931">
        <f t="shared" si="5"/>
        <v>0</v>
      </c>
      <c r="AM18" s="931">
        <f t="shared" si="5"/>
        <v>0</v>
      </c>
      <c r="AN18" s="931">
        <f t="shared" si="5"/>
        <v>0</v>
      </c>
      <c r="AO18" s="933">
        <f>IF(ISNUMBER(((NºAsuntos!I18/NºAsuntos!G18)*11)/factor_trimestre),((NºAsuntos!I18/NºAsuntos!G18)*11)/factor_trimestre," - ")</f>
        <v>3.1824817518248172</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13</v>
      </c>
      <c r="F19" s="819">
        <f t="shared" si="7"/>
        <v>3459</v>
      </c>
      <c r="G19" s="819">
        <f t="shared" si="7"/>
        <v>3728</v>
      </c>
      <c r="H19" s="820">
        <f t="shared" si="7"/>
        <v>0</v>
      </c>
      <c r="I19" s="819">
        <f t="shared" si="7"/>
        <v>0</v>
      </c>
      <c r="J19" s="821">
        <f t="shared" si="7"/>
        <v>0</v>
      </c>
      <c r="K19" s="819">
        <f t="shared" si="7"/>
        <v>0</v>
      </c>
      <c r="L19" s="822">
        <f t="shared" si="7"/>
        <v>0</v>
      </c>
      <c r="M19" s="819">
        <f t="shared" si="7"/>
        <v>0</v>
      </c>
      <c r="N19" s="820">
        <f t="shared" si="7"/>
        <v>1058</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2488</v>
      </c>
      <c r="Z19" s="826">
        <f t="shared" si="8"/>
        <v>679</v>
      </c>
      <c r="AA19" s="827">
        <f t="shared" si="8"/>
        <v>3990</v>
      </c>
      <c r="AB19" s="827">
        <f t="shared" si="8"/>
        <v>0</v>
      </c>
      <c r="AC19" s="827">
        <f t="shared" si="8"/>
        <v>0</v>
      </c>
      <c r="AD19" s="828">
        <f t="shared" si="8"/>
        <v>0</v>
      </c>
      <c r="AE19" s="828">
        <f t="shared" si="8"/>
        <v>12378</v>
      </c>
      <c r="AF19" s="829">
        <f t="shared" si="8"/>
        <v>0</v>
      </c>
      <c r="AG19" s="830">
        <f t="shared" si="8"/>
        <v>0</v>
      </c>
      <c r="AH19" s="831">
        <f t="shared" si="8"/>
        <v>0</v>
      </c>
      <c r="AI19" s="829">
        <f t="shared" si="8"/>
        <v>0</v>
      </c>
      <c r="AJ19" s="819">
        <f t="shared" si="8"/>
        <v>1050</v>
      </c>
      <c r="AK19" s="819">
        <f t="shared" si="8"/>
        <v>2490</v>
      </c>
      <c r="AL19" s="819">
        <f t="shared" si="8"/>
        <v>0</v>
      </c>
      <c r="AM19" s="832">
        <f t="shared" si="8"/>
        <v>0</v>
      </c>
      <c r="AN19" s="822">
        <f>IF(ISNUMBER(Datos!K19/Datos!J19),Datos!K19/Datos!J19," - ")</f>
        <v>1.1545792654579266</v>
      </c>
      <c r="AO19" s="822">
        <f>IF(ISNUMBER(FIND("06",Criterios!A8,1)),(IF(ISNUMBER(((Datos!R19/Datos!Q19)*11)/factor_trimestre),((Datos!R19/Datos!Q19)*11)/factor_trimestre," - ")),(IF(ISNUMBER(((Datos!L19/Datos!K19)*11)/factor_trimestre),((Datos!L19/Datos!K19)*11)/factor_trimestre," - ")))</f>
        <v>5.4068854439299372</v>
      </c>
      <c r="AP19" s="833" t="str">
        <f>IF(ISNUMBER(Datos!CI19/Datos!CJ19),Datos!CI19/Datos!CJ19," - ")</f>
        <v xml:space="preserve"> - </v>
      </c>
      <c r="AQ19" s="833">
        <f>IF(OR(ISNUMBER(FIND("01",Criterios!A8,1)),ISNUMBER(FIND("02",Criterios!A8,1)),ISNUMBER(FIND("03",Criterios!A8,1)),ISNUMBER(FIND("04",Criterios!A8,1))),(J19-Y19+K19)/(F19-K19),(I19-Y19+K19)/(F19-K19))</f>
        <v>-0.71928302977739234</v>
      </c>
      <c r="AR19" s="833">
        <f>IF(ISNUMBER((Datos!P19-Datos!Q19+O19)/(Datos!R19-Datos!P19+Datos!Q19-O19)),(Datos!P19-Datos!Q19+O19)/(Datos!R19-Datos!P19+Datos!Q19-O19)," - ")</f>
        <v>3.1585965497124759E-2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1491.2</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1919.6896450555057</v>
      </c>
      <c r="G21" s="551">
        <f>IF(ISNUMBER(STDEV(G8:G18)),STDEV(G8:G18),"-")</f>
        <v>1848.0722929582598</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280.91398446262275</v>
      </c>
      <c r="AK21" s="251"/>
      <c r="AL21" s="251">
        <f>IF(ISNUMBER(STDEV(AL8:AL18)),STDEV(AL8:AL18),"-")</f>
        <v>0</v>
      </c>
      <c r="AM21" s="253">
        <f>IF(ISNUMBER(STDEV(AM8:AM18)),STDEV(AM8:AM18),"-")</f>
        <v>0</v>
      </c>
      <c r="AN21" s="538">
        <f>IF(ISNUMBER(STDEV(AN8:AN18)),STDEV(AN8:AN18),"-")</f>
        <v>0</v>
      </c>
      <c r="AO21" s="539">
        <f>IF(ISNUMBER(STDEV(AO8:AO18)),STDEV(AO8:AO18),"-")</f>
        <v>2.1004763330326304</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153.88167612790645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09 dic. 2025</v>
      </c>
    </row>
    <row r="32" spans="1:78" ht="13.5" thickBot="1">
      <c r="C32" s="535"/>
      <c r="D32" s="526"/>
      <c r="E32" s="526"/>
    </row>
    <row r="33" spans="12:12" ht="15" thickBot="1">
      <c r="L33" s="545"/>
    </row>
  </sheetData>
  <sheetProtection algorithmName="SHA-512" hashValue="xcRAzdc3ff3sJnKAWUjsR6C3sEs0tH/ut7ocunSCb/ITuNZncN8x84RjmVs8EjZNCE7Fvu1e4KddpYZSN7q5hA==" saltValue="wX55oP0D4t74vDWnRjO+t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3 al 3</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M9B8qvSj9UPSNL5dLPrRFfuQCE3bXcxaoRpByyHn07YXiOqwGJVIiXQE4++0olr2Wgeee7+50BHpFN4pXDukhw==" saltValue="JnkjpBkWIqkqjEJVvoavk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ALBACETE</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qoddbYewMFiADjPcqBMNuEWeczOQyqa02llWtFRE9EmdH5C/AZRq7B4WcTy7SUSUwVwBQ1Tz8BDxT8yYo98fLA==" saltValue="b1ifgZZbhqVBH1BMalDELg=="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CASTILLA-LA MANCHA</v>
      </c>
    </row>
    <row r="2" spans="1:78" ht="16.5" customHeight="1">
      <c r="C2" s="487" t="str">
        <f>Criterios!A10 &amp;"  "&amp;Criterios!B10 &amp; "  " &amp; IF(NOT(ISBLANK(Criterios!A11)),Criterios!A11 &amp;"  "&amp;Criterios!B11,"")</f>
        <v>Provincias  ALBACETE  Resumenes por Partidos Judiciales  ALBACETE</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0.2565597667638484</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0.18141515085835622</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09 dic. 2025</v>
      </c>
    </row>
    <row r="32" spans="1:78">
      <c r="C32" s="773"/>
      <c r="D32" s="773"/>
    </row>
  </sheetData>
  <sheetProtection algorithmName="SHA-512" hashValue="cDF2KB5GTABYEPOgj5SjdCl1StERNM+D0GYxGw036WDGgqJhDDCXltAxTHYAEHqaXBebgqgZHLH2uEc/qXwVOw==" saltValue="K4/pl6ccA+aWzGCfbyEgz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qBnPcwz1srzPuWUv36KEazj/voTNYLsaZxUQvdwhb0Ws19L8aEJTMFSVKka2GS2Z52pPijNmr/DxN638scTMaQ==" saltValue="Lq/IKjQ+CZ42xqGFhkOgj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CASTILLA-LA MANCHA</v>
      </c>
      <c r="C2" s="374"/>
      <c r="D2" s="374"/>
      <c r="E2" s="374"/>
      <c r="F2" s="374"/>
    </row>
    <row r="3" spans="1:69" ht="19.5">
      <c r="A3" s="389" t="s">
        <v>115</v>
      </c>
      <c r="B3" s="390" t="str">
        <f>Criterios!A10 &amp;"  "&amp;Criterios!B10</f>
        <v>Provincias  ALBACETE</v>
      </c>
      <c r="D3" s="374"/>
      <c r="E3" s="374"/>
      <c r="F3" s="374"/>
      <c r="BQ3" s="470"/>
    </row>
    <row r="4" spans="1:69" ht="13.5" thickBot="1">
      <c r="A4" s="374"/>
      <c r="B4" s="390" t="str">
        <f>Criterios!A11 &amp;"  "&amp;Criterios!B11</f>
        <v>Resumenes por Partidos Judiciales  ALBACETE</v>
      </c>
      <c r="C4" s="374"/>
      <c r="D4" s="374"/>
      <c r="E4" s="374"/>
      <c r="F4" s="374"/>
      <c r="BQ4" s="470"/>
    </row>
    <row r="5" spans="1:69" ht="15.75" customHeight="1">
      <c r="A5" s="1197" t="str">
        <f>"Año:  " &amp;Criterios!B5 &amp; "     Trimestre   " &amp;Criterios!D5 &amp; " al " &amp;Criterios!D6</f>
        <v>Año:  2025     Trimestre   3 al 3</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6</v>
      </c>
      <c r="C9" s="402">
        <f>IF(ISNUMBER(IF(J_V="SI",Datos!I9,Datos!I9+Datos!Y9)),IF(J_V="SI",Datos!I9,Datos!I9+Datos!Y9)," - ")</f>
        <v>10013</v>
      </c>
      <c r="D9" s="403">
        <f>IF(ISNUMBER(C9/Datos!BH9),C9/Datos!BH9," - ")</f>
        <v>1668.8333333333333</v>
      </c>
      <c r="E9" s="402">
        <f>IF(ISNUMBER(IF(J_V="SI",Datos!J9,Datos!J9+Datos!Z9)),IF(J_V="SI",Datos!J9,Datos!J9+Datos!Z9)," - ")</f>
        <v>1488</v>
      </c>
      <c r="F9" s="403">
        <f>IF(ISNUMBER(E9/B9),E9/B9," - ")</f>
        <v>248</v>
      </c>
      <c r="G9" s="402">
        <f>IF(ISNUMBER(IF(J_V="SI",Datos!K9,Datos!K9+Datos!AA9)),IF(J_V="SI",Datos!K9,Datos!K9+Datos!AA9)," - ")</f>
        <v>2320</v>
      </c>
      <c r="H9" s="403">
        <f>IF(ISNUMBER(G9/B9),G9/B9," - ")</f>
        <v>386.66666666666669</v>
      </c>
      <c r="I9" s="402">
        <f>IF(ISNUMBER(IF(J_V="SI",Datos!L9,Datos!L9+Datos!AB9)),IF(J_V="SI",Datos!L9,Datos!L9+Datos!AB9)," - ")</f>
        <v>9181</v>
      </c>
      <c r="J9" s="403">
        <f>IF(ISNUMBER(I9/B9),I9/B9," - ")</f>
        <v>1530.1666666666667</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67</v>
      </c>
      <c r="D10" s="403">
        <f>IF(ISNUMBER(C10/Datos!BH10),C10/Datos!BH10," - ")</f>
        <v>67</v>
      </c>
      <c r="E10" s="402">
        <f>IF(ISNUMBER(Datos!J10),Datos!J10," - ")</f>
        <v>21</v>
      </c>
      <c r="F10" s="403">
        <f>IF(ISNUMBER(E10/B10),E10/B10," - ")</f>
        <v>21</v>
      </c>
      <c r="G10" s="402">
        <f>IF(ISNUMBER(Datos!K10),Datos!K10," - ")</f>
        <v>22</v>
      </c>
      <c r="H10" s="403">
        <f>IF(ISNUMBER(G10/B10),G10/B10," - ")</f>
        <v>22</v>
      </c>
      <c r="I10" s="402">
        <f>IF(ISNUMBER(Datos!L10),Datos!L10," - ")</f>
        <v>66</v>
      </c>
      <c r="J10" s="403">
        <f>IF(ISNUMBER(I10/B10),I10/B10," - ")</f>
        <v>66</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2</v>
      </c>
      <c r="C11" s="402">
        <f>IF(ISNUMBER(IF(J_V="SI",Datos!I11,Datos!I11+Datos!Y11)),IF(J_V="SI",Datos!I11,Datos!I11+Datos!Y11)," - ")</f>
        <v>627</v>
      </c>
      <c r="D11" s="403">
        <f>IF(ISNUMBER(C11/Datos!BH11),C11/Datos!BH11," - ")</f>
        <v>313.5</v>
      </c>
      <c r="E11" s="402">
        <f>IF(ISNUMBER(IF(J_V="SI",Datos!J11,Datos!J11+Datos!Z11)),IF(J_V="SI",Datos!J11,Datos!J11+Datos!Z11)," - ")</f>
        <v>446</v>
      </c>
      <c r="F11" s="403">
        <f>IF(ISNUMBER(E11/B11),E11/B11," - ")</f>
        <v>223</v>
      </c>
      <c r="G11" s="402">
        <f>IF(ISNUMBER(IF(J_V="SI",Datos!K11,Datos!K11+Datos!AA11)),IF(J_V="SI",Datos!K11,Datos!K11+Datos!AA11)," - ")</f>
        <v>402</v>
      </c>
      <c r="H11" s="403">
        <f>IF(ISNUMBER(G11/B11),G11/B11," - ")</f>
        <v>201</v>
      </c>
      <c r="I11" s="402">
        <f>IF(ISNUMBER(IF(J_V="SI",Datos!L11,Datos!L11+Datos!AB11)),IF(J_V="SI",Datos!L11,Datos!L11+Datos!AB11)," - ")</f>
        <v>671</v>
      </c>
      <c r="J11" s="403">
        <f>IF(ISNUMBER(I11/B11),I11/B11," - ")</f>
        <v>335.5</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0</v>
      </c>
      <c r="C12" s="402" t="str">
        <f>IF(ISNUMBER(IF(J_V="SI",Datos!I12,Datos!I12+Datos!Y12)),IF(J_V="SI",Datos!I12,Datos!I12+Datos!Y12)," - ")</f>
        <v xml:space="preserve"> - </v>
      </c>
      <c r="D12" s="403" t="str">
        <f>IF(ISNUMBER(C12/Datos!BH12),C12/Datos!BH12," - ")</f>
        <v xml:space="preserve"> - </v>
      </c>
      <c r="E12" s="402" t="str">
        <f>IF(ISNUMBER(IF(J_V="SI",Datos!J12,Datos!J12+Datos!Z12)),IF(J_V="SI",Datos!J12,Datos!J12+Datos!Z12)," - ")</f>
        <v xml:space="preserve"> - </v>
      </c>
      <c r="F12" s="403" t="str">
        <f>IF(ISNUMBER(E12/B12),E12/B12," - ")</f>
        <v xml:space="preserve"> - </v>
      </c>
      <c r="G12" s="402" t="str">
        <f>IF(ISNUMBER(IF(J_V="SI",Datos!K12,Datos!K12+Datos!AA12)),IF(J_V="SI",Datos!K12,Datos!K12+Datos!AA12)," - ")</f>
        <v xml:space="preserve"> - </v>
      </c>
      <c r="H12" s="403" t="str">
        <f>IF(ISNUMBER(G12/B12),G12/B12," - ")</f>
        <v xml:space="preserve"> - </v>
      </c>
      <c r="I12" s="402" t="str">
        <f>IF(ISNUMBER(IF(J_V="SI",Datos!L12,Datos!L12+Datos!AB12)),IF(J_V="SI",Datos!L12,Datos!L12+Datos!AB12)," - ")</f>
        <v xml:space="preserve"> - </v>
      </c>
      <c r="J12" s="403" t="str">
        <f>IF(ISNUMBER(I12/B12),I12/B12," - ")</f>
        <v xml:space="preserve"> - </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9</v>
      </c>
      <c r="C13" s="848">
        <f>SUBTOTAL(9,C8:C12)</f>
        <v>10707</v>
      </c>
      <c r="D13" s="849" t="str">
        <f>IF(ISNUMBER(C13/Datos!BI13),C13/Datos!BI13," - ")</f>
        <v xml:space="preserve"> - </v>
      </c>
      <c r="E13" s="848">
        <f>SUBTOTAL(9,E8:E12)</f>
        <v>1955</v>
      </c>
      <c r="F13" s="849">
        <f>IF(ISNUMBER(E13/B13),E13/B13," - ")</f>
        <v>217.22222222222223</v>
      </c>
      <c r="G13" s="848">
        <f>SUBTOTAL(9,G8:G12)</f>
        <v>2744</v>
      </c>
      <c r="H13" s="849">
        <f>IF(ISNUMBER(G13/B13),G13/B13," - ")</f>
        <v>304.88888888888891</v>
      </c>
      <c r="I13" s="848">
        <f>SUBTOTAL(9,I8:I12)</f>
        <v>9918</v>
      </c>
      <c r="J13" s="849">
        <f>IF(ISNUMBER(I13/B13),I13/B13," - ")</f>
        <v>1102</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3</v>
      </c>
      <c r="C15" s="402">
        <f>IF(ISNUMBER(IF(D_I="SI",Datos!I15,Datos!I15+Datos!AC15)),IF(D_I="SI",Datos!I15,Datos!I15+Datos!AC15)," - ")</f>
        <v>3358</v>
      </c>
      <c r="D15" s="403">
        <f>IF(ISNUMBER(C15/Datos!BH15),C15/Datos!BH15," - ")</f>
        <v>1119.3333333333333</v>
      </c>
      <c r="E15" s="402">
        <f>IF(ISNUMBER(IF(D_I="SI",Datos!J15,Datos!J15+Datos!AD15)),IF(D_I="SI",Datos!J15,Datos!J15+Datos!AD15)," - ")</f>
        <v>2440</v>
      </c>
      <c r="F15" s="403">
        <f>IF(ISNUMBER(E15/B15),E15/B15," - ")</f>
        <v>813.33333333333337</v>
      </c>
      <c r="G15" s="402">
        <f>IF(ISNUMBER(IF(D_I="SI",Datos!K15,Datos!K15+Datos!AE15)),IF(D_I="SI",Datos!K15,Datos!K15+Datos!AE15)," - ")</f>
        <v>2258</v>
      </c>
      <c r="H15" s="403">
        <f>IF(ISNUMBER(G15/B15),G15/B15," - ")</f>
        <v>752.66666666666663</v>
      </c>
      <c r="I15" s="402">
        <f>IF(ISNUMBER(IF(D_I="SI",Datos!L15,Datos!L15+Datos!AF15)),IF(D_I="SI",Datos!L15,Datos!L15+Datos!AF15)," - ")</f>
        <v>3574</v>
      </c>
      <c r="J15" s="403">
        <f>IF(ISNUMBER(I15/B15),I15/B15," - ")</f>
        <v>1191.3333333333333</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303</v>
      </c>
      <c r="D17" s="403">
        <f>IF(ISNUMBER(C17/Datos!BH17),C17/Datos!BH17," - ")</f>
        <v>303</v>
      </c>
      <c r="E17" s="402">
        <f>IF(ISNUMBER(IF(D_I="SI",Datos!J17,Datos!J17+Datos!AD17)),IF(D_I="SI",Datos!J17,Datos!J17+Datos!AD17)," - ")</f>
        <v>255</v>
      </c>
      <c r="F17" s="403">
        <f>IF(ISNUMBER(E17/B17),E17/B17," - ")</f>
        <v>255</v>
      </c>
      <c r="G17" s="402">
        <f>IF(ISNUMBER(IF(D_I="SI",Datos!K17,Datos!K17+Datos!AE17)),IF(D_I="SI",Datos!K17,Datos!K17+Datos!AE17)," - ")</f>
        <v>208</v>
      </c>
      <c r="H17" s="403">
        <f>IF(ISNUMBER(G17/B17),G17/B17," - ")</f>
        <v>208</v>
      </c>
      <c r="I17" s="402">
        <f>IF(ISNUMBER(IF(D_I="SI",Datos!L17,Datos!L17+Datos!AF17)),IF(D_I="SI",Datos!L17,Datos!L17+Datos!AF17)," - ")</f>
        <v>350</v>
      </c>
      <c r="J17" s="403">
        <f>IF(ISNUMBER(I17/B17),I17/B17," - ")</f>
        <v>350</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4</v>
      </c>
      <c r="C18" s="848">
        <f>SUBTOTAL(9,C14:C17)</f>
        <v>3661</v>
      </c>
      <c r="D18" s="849" t="str">
        <f>IF(ISNUMBER(C18/Datos!BI18),C18/Datos!BI18," - ")</f>
        <v xml:space="preserve"> - </v>
      </c>
      <c r="E18" s="848">
        <f>SUBTOTAL(9,E14:E17)</f>
        <v>2695</v>
      </c>
      <c r="F18" s="849">
        <f>IF(ISNUMBER(E18/B18),E18/B18," - ")</f>
        <v>673.75</v>
      </c>
      <c r="G18" s="848">
        <f>SUBTOTAL(9,G14:G17)</f>
        <v>2466</v>
      </c>
      <c r="H18" s="849">
        <f>IF(ISNUMBER(G18/B18),G18/B18," - ")</f>
        <v>616.5</v>
      </c>
      <c r="I18" s="848">
        <f>SUBTOTAL(9,I14:I17)</f>
        <v>3924</v>
      </c>
      <c r="J18" s="849">
        <f>IF(ISNUMBER(I18/B18),I18/B18," - ")</f>
        <v>981</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12</v>
      </c>
      <c r="C19" s="793">
        <f>SUBTOTAL(9,C9:C18)</f>
        <v>14368</v>
      </c>
      <c r="D19" s="794" t="str">
        <f>IF(ISNUMBER(C19/Datos!BI19),C19/Datos!BI19," - ")</f>
        <v xml:space="preserve"> - </v>
      </c>
      <c r="E19" s="793">
        <f>SUBTOTAL(9,E9:E18)</f>
        <v>4650</v>
      </c>
      <c r="F19" s="794">
        <f>IF(ISNUMBER(E19/B19),E19/B19," - ")</f>
        <v>387.5</v>
      </c>
      <c r="G19" s="793">
        <f>SUBTOTAL(9,G9:G18)</f>
        <v>5210</v>
      </c>
      <c r="H19" s="794">
        <f>IF(ISNUMBER(G19/B19),G19/B19," - ")</f>
        <v>434.16666666666669</v>
      </c>
      <c r="I19" s="793">
        <f>SUBTOTAL(9,I9:I18)</f>
        <v>13842</v>
      </c>
      <c r="J19" s="794">
        <f>IF(ISNUMBER(I19/B19),I19/B19," - ")</f>
        <v>1153.5</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09 dic. 2025</v>
      </c>
    </row>
    <row r="27" spans="1:69">
      <c r="A27" s="413"/>
    </row>
  </sheetData>
  <sheetProtection algorithmName="SHA-512" hashValue="RLUtnwKiimoALF6oSAU+9ayaZzo0sefFZxWBo4UYa+7i/cGmsAw3Tt2PcDCwIx5ach46ZnQUwuy/nCO2fV9bfw==" saltValue="EmUMgxlU7aJrfwlAi5rHN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CASTILLA-LA MANCHA</v>
      </c>
      <c r="W1"/>
      <c r="X1"/>
    </row>
    <row r="2" spans="1:78" ht="16.5" customHeight="1">
      <c r="C2" s="487" t="str">
        <f>Criterios!A10 &amp;"  "&amp;Criterios!B10 &amp; "  " &amp; IF(NOT(ISBLANK(Criterios!A11)),Criterios!A11 &amp;"  "&amp;Criterios!B11,"")</f>
        <v>Provincias  ALBACETE  Resumenes por Partidos Judiciales  ALBACETE</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3 al 3</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6</v>
      </c>
      <c r="B9" s="500" t="s">
        <v>246</v>
      </c>
      <c r="C9" s="159" t="str">
        <f>Datos!A9</f>
        <v xml:space="preserve">Jdos. 1ª Instancia   </v>
      </c>
      <c r="D9" s="501"/>
      <c r="E9" s="681">
        <f>IF(ISNUMBER(Datos!AQ9),Datos!AQ9," - ")</f>
        <v>6</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1</v>
      </c>
      <c r="F10" s="682">
        <f>IF(ISNUMBER(Datos!L10+Datos!K10-Datos!J10),Datos!L10+Datos!K10-Datos!J10," - ")</f>
        <v>67</v>
      </c>
      <c r="G10" s="683">
        <f>IF(ISNUMBER(Datos!I10),Datos!I10," - ")</f>
        <v>67</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4</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f>IF(ISNUMBER(DatosP!AS17/E10),DatosP!AS17/E10," - ")</f>
        <v>0</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22</v>
      </c>
      <c r="AC10" s="682" t="str">
        <f>IF(ISNUMBER(IF(D_I="SI",DatosP!K17,DatosP!K17+DatosP!AE17)),IF(D_I="SI",DatosP!K17,DatosP!K17+DatosP!AE17)," - ")</f>
        <v xml:space="preserve"> - </v>
      </c>
      <c r="AD10" s="684"/>
      <c r="AE10" s="684"/>
      <c r="AF10" s="687">
        <f>IF(ISNUMBER(Datos!L10),Datos!L10,"-")</f>
        <v>66</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9</v>
      </c>
      <c r="AM10" s="689">
        <f>IF(ISNUMBER(Datos!N10+DatosP!N17),Datos!N10+DatosP!N17," - ")</f>
        <v>11</v>
      </c>
      <c r="AN10" s="689">
        <f>IF(ISNUMBER(Datos!BW10+DatosP!BW17),Datos!BW10+DatosP!BW17," - ")</f>
        <v>0</v>
      </c>
      <c r="AO10" s="690">
        <f>IF(ISNUMBER(Datos!BX10+DatosP!BX17),Datos!BX10+DatosP!BX17," - ")</f>
        <v>0</v>
      </c>
      <c r="AP10" s="692">
        <f>IF(ISNUMBER(((Datos!L10/Datos!K10)*11)/factor_trimestre),((Datos!L10/Datos!K10)*11)/factor_trimestre," - ")</f>
        <v>6</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2</v>
      </c>
      <c r="B11" s="506" t="s">
        <v>246</v>
      </c>
      <c r="C11" s="7" t="str">
        <f>Datos!A11</f>
        <v xml:space="preserve">Jdos. Familia                                   </v>
      </c>
      <c r="D11" s="507"/>
      <c r="E11" s="681">
        <f>IF(ISNUMBER(Datos!AQ11),Datos!AQ11," - ")</f>
        <v>2</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0</v>
      </c>
      <c r="B12" s="506" t="s">
        <v>246</v>
      </c>
      <c r="C12" s="7" t="str">
        <f>Datos!A12</f>
        <v xml:space="preserve">Jdos. 1ª Instª. e Instr./Secc. Civil y de Inst. TI                      </v>
      </c>
      <c r="D12" s="507"/>
      <c r="E12" s="681">
        <f>IF(ISNUMBER(Datos!AQ12),Datos!AQ12," - ")</f>
        <v>0</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0</v>
      </c>
      <c r="O12" s="684">
        <f>IF(ISNUMBER(DatosP!P16),DatosP!P16,0)</f>
        <v>0</v>
      </c>
      <c r="P12" s="684" t="str">
        <f>IF(ISNUMBER(DatosP!DE16),DatosP!DE16," - ")</f>
        <v xml:space="preserve"> - </v>
      </c>
      <c r="Q12" s="685"/>
      <c r="R12" s="685"/>
      <c r="S12" s="684" t="str">
        <f>IF(ISNUMBER(Datos!AS12*(2500/380)+DatosP!AS16),Datos!AS12*(2500/380)+DatosP!AS16," - ")</f>
        <v xml:space="preserve"> - </v>
      </c>
      <c r="T12" s="684" t="str">
        <f>IF(ISNUMBER(DatosP!AS16/E12),DatosP!AS16/E12," - ")</f>
        <v xml:space="preserve"> - </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t="str">
        <f>IF(ISNUMBER(Datos!Q12),Datos!Q12," - ")</f>
        <v xml:space="preserve"> - </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t="str">
        <f>IF(ISNUMBER(Datos!R12),Datos!R12," - ")</f>
        <v xml:space="preserve"> - </v>
      </c>
      <c r="AI12" s="688" t="str">
        <f>IF(ISNUMBER(DatosP!R16),DatosP!R16," - ")</f>
        <v xml:space="preserve"> - </v>
      </c>
      <c r="AJ12" s="681">
        <f>IF(ISNUMBER(Datos!BV12+DatosP!BV16),Datos!BV12+DatosP!BV16," - ")</f>
        <v>0</v>
      </c>
      <c r="AK12" s="671" t="str">
        <f>IF(ISNUMBER(Datos!DV12),Datos!DV12," - ")</f>
        <v xml:space="preserve"> - </v>
      </c>
      <c r="AL12" s="682" t="str">
        <f>IF(ISNUMBER(Datos!M12+DatosP!M16),Datos!M12+DatosP!M16," - ")</f>
        <v xml:space="preserve"> - </v>
      </c>
      <c r="AM12" s="689" t="str">
        <f>IF(ISNUMBER(Datos!N12+DatosP!N16),Datos!N12+DatosP!N16," - ")</f>
        <v xml:space="preserve"> - </v>
      </c>
      <c r="AN12" s="689">
        <f>IF(ISNUMBER(Datos!BW12+DatosP!BW16),Datos!BW12+DatosP!BW16," - ")</f>
        <v>0</v>
      </c>
      <c r="AO12" s="690">
        <f>IF(ISNUMBER(Datos!BX12+DatosP!BX16),Datos!BX12+DatosP!BX16," - ")</f>
        <v>0</v>
      </c>
      <c r="AP12" s="692" t="str">
        <f>IF(ISNUMBER(((IF(J_V="SI",Datos!L12/Datos!K12,(Datos!L12+Datos!AB12)/(Datos!K12+Datos!AA12)))*11)/factor_trimestre),((IF(J_V="SI",Datos!L12/Datos!K12,(Datos!L12+Datos!AB12)/(Datos!K12+Datos!AA12)))*11)/factor_trimestre," - ")</f>
        <v xml:space="preserve"> - </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t="str">
        <f>IF(ISNUMBER((Datos!P12-Datos!Q12+Datos!DE12)/(Datos!R12-Datos!P12+Datos!Q12-Datos!DE12)),(Datos!P12-Datos!Q12+Datos!DE12)/(Datos!R12-Datos!P12+Datos!Q12-Datos!DE12)," - ")</f>
        <v xml:space="preserve"> - </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9</v>
      </c>
      <c r="F13" s="937">
        <f t="shared" si="0"/>
        <v>67</v>
      </c>
      <c r="G13" s="937">
        <f t="shared" si="0"/>
        <v>67</v>
      </c>
      <c r="H13" s="937">
        <f t="shared" si="0"/>
        <v>0</v>
      </c>
      <c r="I13" s="939">
        <f t="shared" si="0"/>
        <v>0</v>
      </c>
      <c r="J13" s="938">
        <f t="shared" si="0"/>
        <v>0</v>
      </c>
      <c r="K13" s="938">
        <f t="shared" si="0"/>
        <v>0</v>
      </c>
      <c r="L13" s="940">
        <f t="shared" si="0"/>
        <v>0</v>
      </c>
      <c r="M13" s="940">
        <f t="shared" si="0"/>
        <v>0</v>
      </c>
      <c r="N13" s="938">
        <f t="shared" si="0"/>
        <v>4</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22</v>
      </c>
      <c r="AC13" s="938">
        <f t="shared" si="1"/>
        <v>0</v>
      </c>
      <c r="AD13" s="938">
        <f t="shared" si="1"/>
        <v>0</v>
      </c>
      <c r="AE13" s="938">
        <f t="shared" si="1"/>
        <v>0</v>
      </c>
      <c r="AF13" s="938">
        <f t="shared" si="1"/>
        <v>66</v>
      </c>
      <c r="AG13" s="938">
        <f t="shared" si="1"/>
        <v>0</v>
      </c>
      <c r="AH13" s="938">
        <f t="shared" si="1"/>
        <v>0</v>
      </c>
      <c r="AI13" s="938">
        <f t="shared" si="1"/>
        <v>0</v>
      </c>
      <c r="AJ13" s="938">
        <f t="shared" si="1"/>
        <v>0</v>
      </c>
      <c r="AK13" s="938">
        <f t="shared" si="1"/>
        <v>0</v>
      </c>
      <c r="AL13" s="938">
        <f t="shared" si="1"/>
        <v>9</v>
      </c>
      <c r="AM13" s="938">
        <f t="shared" si="1"/>
        <v>11</v>
      </c>
      <c r="AN13" s="938">
        <f t="shared" si="1"/>
        <v>0</v>
      </c>
      <c r="AO13" s="938">
        <f t="shared" si="1"/>
        <v>0</v>
      </c>
      <c r="AP13" s="943">
        <f>IF(ISNUMBER(((Datos!L13/Datos!K13)*11)/factor_trimestre),((Datos!L13/Datos!K13)*11)/factor_trimestre," - ")</f>
        <v>7.60015993602559</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-0.32835820895522388</v>
      </c>
      <c r="AU13" s="938" t="str">
        <f>IF(ISNUMBER((DatosP!#REF!-DatosP!#REF!+DatosP!#REF!)/(DatosP!#REF!+DatosP!#REF!-DatosP!#REF!-DatosP!#REF!)),(DatosP!#REF!-DatosP!#REF!+DatosP!#REF!)/(DatosP!#REF!+DatosP!#REF!-DatosP!#REF!-DatosP!#REF!)," - ")</f>
        <v xml:space="preserve"> - </v>
      </c>
      <c r="AV13" s="944">
        <f>SUBTOTAL(9,AV9:AV12)</f>
        <v>0</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3</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0</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3.1824817518248172</v>
      </c>
      <c r="AQ18" s="943">
        <f>IF(ISNUMBER(((Datos!M18/Datos!L18)*11)/factor_trimestre),((Datos!M18/Datos!L18)*11)/factor_trimestre," - ")</f>
        <v>0.17635066258919471</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-6.3555114200595828E-2</v>
      </c>
      <c r="AW18" s="945">
        <f>IF(ISNUMBER((Datos!Q18-Datos!R18)/(Datos!S18-Datos!Q18+Datos!R18)),(Datos!Q18-Datos!R18)/(Datos!S18-Datos!Q18+Datos!R18)," - ")</f>
        <v>-0.15145184875705034</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9</v>
      </c>
      <c r="F19" s="950">
        <f t="shared" si="4"/>
        <v>67</v>
      </c>
      <c r="G19" s="950">
        <f t="shared" si="4"/>
        <v>67</v>
      </c>
      <c r="H19" s="950">
        <f t="shared" si="4"/>
        <v>0</v>
      </c>
      <c r="I19" s="951">
        <f t="shared" si="4"/>
        <v>0</v>
      </c>
      <c r="J19" s="952">
        <f t="shared" si="4"/>
        <v>0</v>
      </c>
      <c r="K19" s="952">
        <f t="shared" si="4"/>
        <v>0</v>
      </c>
      <c r="L19" s="952">
        <f t="shared" si="4"/>
        <v>0</v>
      </c>
      <c r="M19" s="952">
        <f t="shared" si="4"/>
        <v>0</v>
      </c>
      <c r="N19" s="951">
        <f t="shared" si="4"/>
        <v>4</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22</v>
      </c>
      <c r="AC19" s="956">
        <f t="shared" si="5"/>
        <v>0</v>
      </c>
      <c r="AD19" s="956">
        <f t="shared" si="5"/>
        <v>0</v>
      </c>
      <c r="AE19" s="956">
        <f t="shared" si="5"/>
        <v>0</v>
      </c>
      <c r="AF19" s="957">
        <f t="shared" si="5"/>
        <v>66</v>
      </c>
      <c r="AG19" s="957">
        <f t="shared" si="5"/>
        <v>0</v>
      </c>
      <c r="AH19" s="957">
        <f t="shared" si="5"/>
        <v>0</v>
      </c>
      <c r="AI19" s="957">
        <f t="shared" si="5"/>
        <v>0</v>
      </c>
      <c r="AJ19" s="958">
        <f t="shared" si="5"/>
        <v>0</v>
      </c>
      <c r="AK19" s="958">
        <f t="shared" si="5"/>
        <v>0</v>
      </c>
      <c r="AL19" s="950">
        <f t="shared" si="5"/>
        <v>9</v>
      </c>
      <c r="AM19" s="950">
        <f t="shared" si="5"/>
        <v>11</v>
      </c>
      <c r="AN19" s="950">
        <f t="shared" si="5"/>
        <v>0</v>
      </c>
      <c r="AO19" s="950">
        <f t="shared" si="5"/>
        <v>0</v>
      </c>
      <c r="AP19" s="950">
        <f>IF(ISNUMBER(((Datos!L19/Datos!K19)*11)/factor_trimestre),((Datos!L19/Datos!K19)*11)/factor_trimestre," - ")</f>
        <v>5.4068854439299372</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-0.32835820895522388</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3.1585965497124759E-2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44.666666666666664</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3.687817782917155</v>
      </c>
      <c r="F21" s="735">
        <f>IF(ISNUMBER(STDEV(F8:F18)),STDEV(F8:F18),"-")</f>
        <v>38.682468035704929</v>
      </c>
      <c r="G21" s="736">
        <f>IF(ISNUMBER(STDEV(G8:G18)),STDEV(G8:G18),"-")</f>
        <v>38.682468035704929</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12.701705922171765</v>
      </c>
      <c r="AC21" s="737">
        <f>IF(ISNUMBER(STDEV(AC8:AC18)),STDEV(AC8:AC18),"-")</f>
        <v>0</v>
      </c>
      <c r="AD21" s="740"/>
      <c r="AE21" s="740"/>
      <c r="AF21" s="740"/>
      <c r="AG21" s="740"/>
      <c r="AH21" s="740"/>
      <c r="AI21" s="740"/>
      <c r="AJ21" s="741">
        <f>IF(ISNUMBER(STDEV(AJ8:AJ18)),STDEV(AJ8:AJ18),"-")</f>
        <v>0</v>
      </c>
      <c r="AK21" s="743"/>
      <c r="AL21" s="735">
        <f>IF(ISNUMBER(STDEV(AL8:AL18)),STDEV(AL8:AL18),"-")</f>
        <v>5.196152422706632</v>
      </c>
      <c r="AM21" s="735"/>
      <c r="AN21" s="735">
        <f>IF(ISNUMBER(STDEV(AN8:AN18)),STDEV(AN8:AN18),"-")</f>
        <v>0</v>
      </c>
      <c r="AO21" s="741">
        <f>IF(ISNUMBER(STDEV(AO8:AO18)),STDEV(AO8:AO18),"-")</f>
        <v>0</v>
      </c>
      <c r="AP21" s="778">
        <f>IF(ISNUMBER(STDEV(AP8:AP18)),STDEV(AP8:AP18),"-")</f>
        <v>2.2366195265334756</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09 dic. 2025</v>
      </c>
      <c r="W30"/>
      <c r="X30"/>
    </row>
    <row r="32" spans="1:78">
      <c r="C32" s="773"/>
      <c r="D32" s="773"/>
      <c r="W32"/>
      <c r="X32"/>
    </row>
  </sheetData>
  <sheetProtection algorithmName="SHA-512" hashValue="GqpKmudQKaVwOv6dqaYozQqL6Gw6SZ9Gbqo/69P8qKD/dQNSKIs6e6vKomf+cXPBtVM52ErYTidwYN/AbujCcA==" saltValue="LVnmjR51IRXMY0syeEz/N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CASTILLA-LA MANCHA</v>
      </c>
      <c r="C2" s="374"/>
      <c r="E2" s="374"/>
      <c r="F2" s="374"/>
      <c r="G2" s="374"/>
      <c r="H2" s="374"/>
    </row>
    <row r="3" spans="1:15" ht="39">
      <c r="A3" s="414" t="s">
        <v>218</v>
      </c>
      <c r="B3" s="390" t="str">
        <f>Criterios!A10 &amp;"  "&amp;Criterios!B10</f>
        <v>Provincias  ALBACETE</v>
      </c>
      <c r="C3" s="414"/>
      <c r="F3" s="374"/>
      <c r="G3" s="374"/>
      <c r="H3" s="374"/>
    </row>
    <row r="4" spans="1:15" ht="13.5" thickBot="1">
      <c r="A4" s="374"/>
      <c r="B4" s="390" t="str">
        <f>Criterios!A11 &amp;"  "&amp;Criterios!B11</f>
        <v>Resumenes por Partidos Judiciales  ALBACETE</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6</v>
      </c>
      <c r="D9" s="402">
        <f>Datos!BK9</f>
        <v>0</v>
      </c>
      <c r="E9" s="402">
        <f>Datos!AQ9</f>
        <v>6</v>
      </c>
      <c r="F9" s="403">
        <f>IF(ISNUMBER(E9/Datos!BH9),E9/Datos!BH9," - ")</f>
        <v>1</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1</v>
      </c>
      <c r="D10" s="402">
        <f>Datos!BK10</f>
        <v>0</v>
      </c>
      <c r="E10" s="402">
        <f>Datos!AQ10</f>
        <v>1</v>
      </c>
      <c r="F10" s="403">
        <f>IF(ISNUMBER(E10/Datos!BH10),E10/Datos!BH10," - ")</f>
        <v>1</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2</v>
      </c>
      <c r="D11" s="402">
        <f>Datos!BK11</f>
        <v>0</v>
      </c>
      <c r="E11" s="402">
        <f>Datos!AQ11</f>
        <v>2</v>
      </c>
      <c r="F11" s="403">
        <f>IF(ISNUMBER(E11/Datos!BH11),E11/Datos!BH11," - ")</f>
        <v>1</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0</v>
      </c>
      <c r="D12" s="402">
        <f>Datos!BK12</f>
        <v>0</v>
      </c>
      <c r="E12" s="402">
        <f>Datos!AQ12</f>
        <v>0</v>
      </c>
      <c r="F12" s="403" t="str">
        <f>IF(ISNUMBER(E12/Datos!BH12),E12/Datos!BH12," - ")</f>
        <v xml:space="preserve"> - </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3</v>
      </c>
      <c r="D15" s="402">
        <f>Datos!BK15</f>
        <v>0</v>
      </c>
      <c r="E15" s="402">
        <f>Datos!AQ15</f>
        <v>3</v>
      </c>
      <c r="F15" s="403">
        <f>IF(ISNUMBER(E15/Datos!BH15),E15/Datos!BH15," - ")</f>
        <v>1</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1</v>
      </c>
      <c r="D17" s="402">
        <f>Datos!BK17</f>
        <v>0</v>
      </c>
      <c r="E17" s="402">
        <f>Datos!AQ17</f>
        <v>1</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09 dic. 2025</v>
      </c>
      <c r="B23" s="390"/>
      <c r="C23" s="390"/>
    </row>
    <row r="27" spans="1:13">
      <c r="A27" s="413"/>
      <c r="B27" s="413"/>
      <c r="C27" s="413"/>
    </row>
  </sheetData>
  <sheetProtection algorithmName="SHA-512" hashValue="myw8VZ6x0htSIGzsMewkYWD1Mn94AoYdMKn3xCsf5ylpJDnpmbv4G9nVmZDPqyT9KglEFZ0dIU3GlpoVJTleGg==" saltValue="kCCBX+5KAUrSMmSeye/eR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CASTILLA-LA MANCHA</v>
      </c>
      <c r="C2" s="390"/>
    </row>
    <row r="3" spans="1:78" ht="19.5">
      <c r="A3" s="424" t="s">
        <v>11</v>
      </c>
      <c r="B3" s="390" t="str">
        <f>Criterios!A10 &amp;"  "&amp;Criterios!B10</f>
        <v>Provincias  ALBACETE</v>
      </c>
      <c r="C3" s="390"/>
      <c r="D3" s="424"/>
      <c r="BZ3" s="470"/>
    </row>
    <row r="4" spans="1:78" ht="13.5" thickBot="1">
      <c r="B4" s="390" t="str">
        <f>Criterios!A11 &amp;"  "&amp;Criterios!B11</f>
        <v>Resumenes por Partidos Judiciales  ALBACETE</v>
      </c>
      <c r="BZ4" s="470"/>
    </row>
    <row r="5" spans="1:78" ht="15.75" customHeight="1">
      <c r="A5" s="1209" t="str">
        <f>"Año:  " &amp;Criterios!B5 &amp; "                  Trimestre   " &amp;Criterios!D5 &amp; " al " &amp;Criterios!D6</f>
        <v>Año:  2025                  Trimestre   3 al 3</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6</v>
      </c>
      <c r="C9" s="409">
        <f>Datos!AQ9</f>
        <v>6</v>
      </c>
      <c r="D9" s="402">
        <f>IF(ISNUMBER(Datos!M9),Datos!M9," - ")</f>
        <v>609</v>
      </c>
      <c r="E9" s="403">
        <f t="shared" ref="E9:E13" si="0">IF(ISNUMBER(D9/B9),D9/B9," - ")</f>
        <v>101.5</v>
      </c>
      <c r="F9" s="402">
        <f>IF(ISNUMBER(Datos!N9),Datos!N9," - ")</f>
        <v>958</v>
      </c>
      <c r="G9" s="403">
        <f t="shared" ref="G9:G13" si="1">IF(ISNUMBER(F9/B9),F9/B9," - ")</f>
        <v>159.66666666666666</v>
      </c>
      <c r="H9" s="402">
        <f>IF(ISNUMBER(Datos!O9),Datos!O9," - ")</f>
        <v>1025</v>
      </c>
      <c r="I9" s="403">
        <f>IF(ISNUMBER(H9/B9),H9/B9," - ")</f>
        <v>170.83333333333334</v>
      </c>
      <c r="BZ9" s="1185">
        <f>Datos!EZ9</f>
        <v>0</v>
      </c>
    </row>
    <row r="10" spans="1:78">
      <c r="A10" s="401" t="str">
        <f>Datos!A10</f>
        <v>Jdos. Violencia contra la mujer/Secc Viol. TI.</v>
      </c>
      <c r="B10" s="426">
        <f>Datos!AO10</f>
        <v>1</v>
      </c>
      <c r="C10" s="409">
        <f>Datos!AQ10</f>
        <v>1</v>
      </c>
      <c r="D10" s="402">
        <f>IF(ISNUMBER(Datos!M10),Datos!M10," - ")</f>
        <v>9</v>
      </c>
      <c r="E10" s="403">
        <f>IF(ISNUMBER(D10/B10),D10/B10," - ")</f>
        <v>9</v>
      </c>
      <c r="F10" s="402">
        <f>IF(ISNUMBER(Datos!N10),Datos!N10," - ")</f>
        <v>11</v>
      </c>
      <c r="G10" s="403">
        <f>IF(ISNUMBER(F10/B10),F10/B10," - ")</f>
        <v>11</v>
      </c>
      <c r="H10" s="402">
        <f>IF(ISNUMBER(Datos!O10),Datos!O10," - ")</f>
        <v>11</v>
      </c>
      <c r="I10" s="403">
        <f t="shared" ref="I10:I12" si="2">IF(ISNUMBER(H10/B10),H10/B10," - ")</f>
        <v>11</v>
      </c>
      <c r="BZ10" s="1185">
        <f>Datos!EZ10</f>
        <v>0</v>
      </c>
    </row>
    <row r="11" spans="1:78">
      <c r="A11" s="401" t="str">
        <f>Datos!A11</f>
        <v xml:space="preserve">Jdos. Familia                                   </v>
      </c>
      <c r="B11" s="426">
        <f>Datos!AO11</f>
        <v>2</v>
      </c>
      <c r="C11" s="409">
        <f>Datos!AQ11</f>
        <v>2</v>
      </c>
      <c r="D11" s="402">
        <f>IF(ISNUMBER(Datos!M11),Datos!M11," - ")</f>
        <v>86</v>
      </c>
      <c r="E11" s="403">
        <f t="shared" si="0"/>
        <v>43</v>
      </c>
      <c r="F11" s="402">
        <f>IF(ISNUMBER(Datos!N11),Datos!N11," - ")</f>
        <v>258</v>
      </c>
      <c r="G11" s="403">
        <f t="shared" si="1"/>
        <v>129</v>
      </c>
      <c r="H11" s="402">
        <f>IF(ISNUMBER(Datos!O11),Datos!O11," - ")</f>
        <v>138</v>
      </c>
      <c r="I11" s="403">
        <f t="shared" si="2"/>
        <v>69</v>
      </c>
      <c r="BZ11" s="1185">
        <f>Datos!EZ11</f>
        <v>0</v>
      </c>
    </row>
    <row r="12" spans="1:78" ht="13.5" thickBot="1">
      <c r="A12" s="401" t="str">
        <f>Datos!A12</f>
        <v xml:space="preserve">Jdos. 1ª Instª. e Instr./Secc. Civil y de Inst. TI                      </v>
      </c>
      <c r="B12" s="426">
        <f>Datos!AO12</f>
        <v>0</v>
      </c>
      <c r="C12" s="409">
        <f>Datos!AQ12</f>
        <v>0</v>
      </c>
      <c r="D12" s="402" t="str">
        <f>IF(ISNUMBER(Datos!M12),Datos!M12," - ")</f>
        <v xml:space="preserve"> - </v>
      </c>
      <c r="E12" s="403" t="str">
        <f t="shared" si="0"/>
        <v xml:space="preserve"> - </v>
      </c>
      <c r="F12" s="402" t="str">
        <f>IF(ISNUMBER(Datos!N12),Datos!N12," - ")</f>
        <v xml:space="preserve"> - </v>
      </c>
      <c r="G12" s="403" t="str">
        <f t="shared" si="1"/>
        <v xml:space="preserve"> - </v>
      </c>
      <c r="H12" s="402" t="str">
        <f>IF(ISNUMBER(Datos!O12),Datos!O12," - ")</f>
        <v xml:space="preserve"> - </v>
      </c>
      <c r="I12" s="403" t="str">
        <f t="shared" si="2"/>
        <v xml:space="preserve"> - </v>
      </c>
      <c r="BZ12" s="1185">
        <f>Datos!EZ12</f>
        <v>0</v>
      </c>
    </row>
    <row r="13" spans="1:78" ht="14.25" thickTop="1" thickBot="1">
      <c r="A13" s="847" t="str">
        <f>Datos!A13</f>
        <v>TOTAL</v>
      </c>
      <c r="B13" s="848">
        <f>Datos!AP13</f>
        <v>9</v>
      </c>
      <c r="C13" s="850">
        <f>Datos!AR13</f>
        <v>9</v>
      </c>
      <c r="D13" s="848">
        <f>SUBTOTAL(9,D9:D12)</f>
        <v>704</v>
      </c>
      <c r="E13" s="849">
        <f t="shared" si="0"/>
        <v>78.222222222222229</v>
      </c>
      <c r="F13" s="848">
        <f>SUBTOTAL(9,F9:F12)</f>
        <v>1227</v>
      </c>
      <c r="G13" s="849">
        <f t="shared" si="1"/>
        <v>136.33333333333334</v>
      </c>
      <c r="H13" s="848">
        <f>SUBTOTAL(9,H9:H12)</f>
        <v>1174</v>
      </c>
      <c r="I13" s="849">
        <f>IF(ISNUMBER(H13/B13),H13/B13," - ")</f>
        <v>130.44444444444446</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3</v>
      </c>
      <c r="C15" s="427">
        <f>Datos!AQ15</f>
        <v>3</v>
      </c>
      <c r="D15" s="402">
        <f>IF(ISNUMBER(Datos!M15),Datos!M15," - ")</f>
        <v>331</v>
      </c>
      <c r="E15" s="403">
        <f t="shared" ref="E15:E18" si="3">IF(ISNUMBER(D15/B15),D15/B15," - ")</f>
        <v>110.33333333333333</v>
      </c>
      <c r="F15" s="402">
        <f>IF(ISNUMBER(Datos!N15),Datos!N15," - ")</f>
        <v>1129</v>
      </c>
      <c r="G15" s="403">
        <f t="shared" ref="G15:G18" si="4">IF(ISNUMBER(F15/B15),F15/B15," - ")</f>
        <v>376.33333333333331</v>
      </c>
      <c r="H15" s="402">
        <f>IF(ISNUMBER(Datos!O15),Datos!O15," - ")</f>
        <v>185</v>
      </c>
      <c r="I15" s="403">
        <f t="shared" ref="I15:I17" si="5">IF(ISNUMBER(H15/B15),H15/B15," - ")</f>
        <v>61.666666666666664</v>
      </c>
      <c r="BZ15" s="1185">
        <f>Datos!EZ15</f>
        <v>0</v>
      </c>
    </row>
    <row r="16" spans="1:78">
      <c r="A16" s="401" t="str">
        <f>Datos!A16</f>
        <v xml:space="preserve">Jdos. 1ª Instª. e Instr./Secc. Civil y de Inst. TI                      </v>
      </c>
      <c r="B16" s="426">
        <f>Datos!AO16</f>
        <v>0</v>
      </c>
      <c r="C16" s="427">
        <f>Datos!AQ16</f>
        <v>0</v>
      </c>
      <c r="D16" s="402" t="str">
        <f>IF(ISNUMBER(Datos!M16),Datos!M16," - ")</f>
        <v xml:space="preserve"> - </v>
      </c>
      <c r="E16" s="403" t="str">
        <f t="shared" si="3"/>
        <v xml:space="preserve"> - </v>
      </c>
      <c r="F16" s="402" t="str">
        <f>IF(ISNUMBER(Datos!N16),Datos!N16," - ")</f>
        <v xml:space="preserve"> - </v>
      </c>
      <c r="G16" s="403" t="str">
        <f t="shared" si="4"/>
        <v xml:space="preserve"> - </v>
      </c>
      <c r="H16" s="402" t="str">
        <f>IF(ISNUMBER(Datos!O16),Datos!O16," - ")</f>
        <v xml:space="preserve"> - </v>
      </c>
      <c r="I16" s="403" t="str">
        <f t="shared" si="5"/>
        <v xml:space="preserve"> - </v>
      </c>
      <c r="BZ16" s="1185">
        <f>Datos!EZ16</f>
        <v>0</v>
      </c>
    </row>
    <row r="17" spans="1:78" ht="13.5" thickBot="1">
      <c r="A17" s="401" t="str">
        <f>Datos!A17</f>
        <v>Jdos. Violencia contra la mujer/Secc Viol. TI.</v>
      </c>
      <c r="B17" s="426">
        <f>Datos!AO17</f>
        <v>1</v>
      </c>
      <c r="C17" s="427">
        <f>Datos!AQ17</f>
        <v>1</v>
      </c>
      <c r="D17" s="402">
        <f>IF(ISNUMBER(Datos!M17),Datos!M17," - ")</f>
        <v>15</v>
      </c>
      <c r="E17" s="403">
        <f>IF(ISNUMBER(D17/B17),D17/B17," - ")</f>
        <v>15</v>
      </c>
      <c r="F17" s="402">
        <f>IF(ISNUMBER(Datos!N17),Datos!N17," - ")</f>
        <v>134</v>
      </c>
      <c r="G17" s="403">
        <f>IF(ISNUMBER(F17/B17),F17/B17," - ")</f>
        <v>134</v>
      </c>
      <c r="H17" s="402">
        <f>IF(ISNUMBER(Datos!O17),Datos!O17," - ")</f>
        <v>0</v>
      </c>
      <c r="I17" s="403">
        <f t="shared" si="5"/>
        <v>0</v>
      </c>
      <c r="BZ17" s="1185">
        <f>Datos!EZ17</f>
        <v>0</v>
      </c>
    </row>
    <row r="18" spans="1:78" ht="14.25" thickTop="1" thickBot="1">
      <c r="A18" s="847" t="str">
        <f>Datos!A18</f>
        <v>TOTAL</v>
      </c>
      <c r="B18" s="848">
        <f>Datos!AP18</f>
        <v>4</v>
      </c>
      <c r="C18" s="850">
        <f>Datos!AR18</f>
        <v>4</v>
      </c>
      <c r="D18" s="848">
        <f>SUBTOTAL(9,D15:D17)</f>
        <v>346</v>
      </c>
      <c r="E18" s="849">
        <f t="shared" si="3"/>
        <v>86.5</v>
      </c>
      <c r="F18" s="848">
        <f>SUBTOTAL(9,F15:F17)</f>
        <v>1263</v>
      </c>
      <c r="G18" s="849">
        <f t="shared" si="4"/>
        <v>315.75</v>
      </c>
      <c r="H18" s="848">
        <f>SUBTOTAL(9,H15:H17)</f>
        <v>185</v>
      </c>
      <c r="I18" s="849">
        <f>IF(ISNUMBER(H18/B18),H18/B18," - ")</f>
        <v>46.25</v>
      </c>
      <c r="BZ18" s="1185"/>
    </row>
    <row r="19" spans="1:78" ht="14.25" thickTop="1" thickBot="1">
      <c r="A19" s="792" t="str">
        <f>Datos!A19</f>
        <v>TOTAL JURISDICCIONES</v>
      </c>
      <c r="B19" s="793">
        <f>Datos!AP19</f>
        <v>12</v>
      </c>
      <c r="C19" s="793">
        <f>Datos!AR19</f>
        <v>12</v>
      </c>
      <c r="D19" s="793">
        <f>SUBTOTAL(9,D8:D18)</f>
        <v>1050</v>
      </c>
      <c r="E19" s="794">
        <f>IF(ISNUMBER(D19/B19),D19/B19," - ")</f>
        <v>87.5</v>
      </c>
      <c r="F19" s="793">
        <f>SUBTOTAL(9,F8:F18)</f>
        <v>2490</v>
      </c>
      <c r="G19" s="794">
        <f>IF(ISNUMBER(F19/B19),F19/B19," - ")</f>
        <v>207.5</v>
      </c>
      <c r="H19" s="793">
        <f>SUBTOTAL(9,H8:H18)</f>
        <v>1359</v>
      </c>
      <c r="I19" s="794">
        <f>IF(ISNUMBER(H19/B19),H19/B19," - ")</f>
        <v>113.25</v>
      </c>
    </row>
    <row r="22" spans="1:78">
      <c r="A22" s="390" t="str">
        <f>Criterios!A4</f>
        <v>Fecha Informe: 09 dic. 2025</v>
      </c>
    </row>
    <row r="27" spans="1:78">
      <c r="A27" s="413"/>
    </row>
  </sheetData>
  <sheetProtection algorithmName="SHA-512" hashValue="A/1AQWYQOkfmAlkQfDLQk+Egy5hco7oAtt56PAR5BIIENq2lX0HdKrONUkKOeefuGKuy2px+Hx8CszeUCMIBYA==" saltValue="KIoyTTy2oA861Qm8rLf/Y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CASTILLA-LA MANCHA</v>
      </c>
    </row>
    <row r="3" spans="1:4" ht="19.5">
      <c r="A3" s="428" t="s">
        <v>32</v>
      </c>
      <c r="B3" s="390" t="str">
        <f>Criterios!A10 &amp;"  "&amp;Criterios!B10</f>
        <v>Provincias  ALBACETE</v>
      </c>
    </row>
    <row r="4" spans="1:4" ht="13.5" thickBot="1">
      <c r="B4" s="390" t="str">
        <f>Criterios!A11 &amp;"  "&amp;Criterios!B11</f>
        <v>Resumenes por Partidos Judiciales  ALBACETE</v>
      </c>
    </row>
    <row r="5" spans="1:4" ht="12.75" customHeight="1">
      <c r="A5" s="1209" t="str">
        <f>"Año:  " &amp;Criterios!B5 &amp; "                  Trimestre   " &amp;Criterios!D5 &amp; " al " &amp;Criterios!D6</f>
        <v>Año:  2025                  Trimestre   3 al 3</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f>IF(ISNUMBER(Datos!P9),Datos!P9," - ")</f>
        <v>874</v>
      </c>
      <c r="C9" s="433">
        <f>IF(ISNUMBER(Datos!Q9),Datos!Q9," - ")</f>
        <v>413</v>
      </c>
      <c r="D9" s="407">
        <f>IF(ISNUMBER(Datos!R9),Datos!R9," - ")</f>
        <v>10782</v>
      </c>
    </row>
    <row r="10" spans="1:4">
      <c r="A10" s="401" t="str">
        <f>Datos!A10</f>
        <v>Jdos. Violencia contra la mujer/Secc Viol. TI.</v>
      </c>
      <c r="B10" s="432">
        <f>IF(ISNUMBER(Datos!P10),Datos!P10," - ")</f>
        <v>4</v>
      </c>
      <c r="C10" s="433">
        <f>IF(ISNUMBER(Datos!Q10),Datos!Q10," - ")</f>
        <v>22</v>
      </c>
      <c r="D10" s="407">
        <f>IF(ISNUMBER(Datos!R10),Datos!R10," - ")</f>
        <v>45</v>
      </c>
    </row>
    <row r="11" spans="1:4">
      <c r="A11" s="401" t="str">
        <f>Datos!A11</f>
        <v xml:space="preserve">Jdos. Familia                                   </v>
      </c>
      <c r="B11" s="432">
        <f>IF(ISNUMBER(Datos!P11),Datos!P11," - ")</f>
        <v>26</v>
      </c>
      <c r="C11" s="433">
        <f>IF(ISNUMBER(Datos!Q11),Datos!Q11," - ")</f>
        <v>26</v>
      </c>
      <c r="D11" s="407">
        <f>IF(ISNUMBER(Datos!R11),Datos!R11," - ")</f>
        <v>608</v>
      </c>
    </row>
    <row r="12" spans="1:4" ht="13.5" thickBot="1">
      <c r="A12" s="401" t="str">
        <f>Datos!A12</f>
        <v xml:space="preserve">Jdos. 1ª Instª. e Instr./Secc. Civil y de Inst. TI                      </v>
      </c>
      <c r="B12" s="432" t="str">
        <f>IF(ISNUMBER(Datos!P12),Datos!P12," - ")</f>
        <v xml:space="preserve"> - </v>
      </c>
      <c r="C12" s="433" t="str">
        <f>IF(ISNUMBER(Datos!Q12),Datos!Q12," - ")</f>
        <v xml:space="preserve"> - </v>
      </c>
      <c r="D12" s="407" t="str">
        <f>IF(ISNUMBER(Datos!R12),Datos!R12," - ")</f>
        <v xml:space="preserve"> - </v>
      </c>
    </row>
    <row r="13" spans="1:4" ht="14.25" thickTop="1" thickBot="1">
      <c r="A13" s="847" t="str">
        <f>Datos!A13</f>
        <v>TOTAL</v>
      </c>
      <c r="B13" s="848">
        <f>SUBTOTAL(9,B9:B12)</f>
        <v>904</v>
      </c>
      <c r="C13" s="852">
        <f>SUBTOTAL(9,C9:C12)</f>
        <v>461</v>
      </c>
      <c r="D13" s="850">
        <f>SUBTOTAL(9,D9:D12)</f>
        <v>11435</v>
      </c>
    </row>
    <row r="14" spans="1:4" ht="13.5" thickTop="1">
      <c r="A14" s="395" t="str">
        <f>Datos!A14</f>
        <v xml:space="preserve">Jurisdicción Penal ( 2 ):                      </v>
      </c>
      <c r="B14" s="405"/>
      <c r="C14" s="434"/>
      <c r="D14" s="407"/>
    </row>
    <row r="15" spans="1:4">
      <c r="A15" s="401" t="str">
        <f>Datos!A15</f>
        <v xml:space="preserve">Jdos. Instrucción                               </v>
      </c>
      <c r="B15" s="432">
        <f>IF(ISNUMBER(Datos!P15),Datos!P15," - ")</f>
        <v>154</v>
      </c>
      <c r="C15" s="433">
        <f>IF(ISNUMBER(Datos!Q15),Datos!Q15," - ")</f>
        <v>218</v>
      </c>
      <c r="D15" s="407">
        <f>IF(ISNUMBER(Datos!R15),Datos!R15," - ")</f>
        <v>938</v>
      </c>
    </row>
    <row r="16" spans="1:4">
      <c r="A16" s="401" t="str">
        <f>Datos!A16</f>
        <v xml:space="preserve">Jdos. 1ª Instª. e Instr./Secc. Civil y de Inst. TI                      </v>
      </c>
      <c r="B16" s="432" t="str">
        <f>IF(ISNUMBER(Datos!P16),Datos!P16," - ")</f>
        <v xml:space="preserve"> - </v>
      </c>
      <c r="C16" s="433" t="str">
        <f>IF(ISNUMBER(Datos!Q16),Datos!Q16," - ")</f>
        <v xml:space="preserve"> - </v>
      </c>
      <c r="D16" s="407" t="str">
        <f>IF(ISNUMBER(Datos!R16),Datos!R16," - ")</f>
        <v xml:space="preserve"> - </v>
      </c>
    </row>
    <row r="17" spans="1:4" ht="13.5" thickBot="1">
      <c r="A17" s="401" t="str">
        <f>Datos!A17</f>
        <v>Jdos. Violencia contra la mujer/Secc Viol. TI.</v>
      </c>
      <c r="B17" s="432">
        <f>IF(ISNUMBER(Datos!P17),Datos!P17," - ")</f>
        <v>0</v>
      </c>
      <c r="C17" s="433">
        <f>IF(ISNUMBER(Datos!Q17),Datos!Q17," - ")</f>
        <v>0</v>
      </c>
      <c r="D17" s="407">
        <f>IF(ISNUMBER(Datos!R17),Datos!R17," - ")</f>
        <v>5</v>
      </c>
    </row>
    <row r="18" spans="1:4" ht="14.25" thickTop="1" thickBot="1">
      <c r="A18" s="847" t="str">
        <f>Datos!A18</f>
        <v>TOTAL</v>
      </c>
      <c r="B18" s="848">
        <f>SUBTOTAL(9,B15:B17)</f>
        <v>154</v>
      </c>
      <c r="C18" s="852">
        <f>SUBTOTAL(9,C15:C17)</f>
        <v>218</v>
      </c>
      <c r="D18" s="850">
        <f>SUBTOTAL(9,D15:D17)</f>
        <v>943</v>
      </c>
    </row>
    <row r="19" spans="1:4" ht="16.5" customHeight="1" thickTop="1" thickBot="1">
      <c r="A19" s="792" t="str">
        <f>Datos!A19</f>
        <v>TOTAL JURISDICCIONES</v>
      </c>
      <c r="B19" s="797">
        <f>SUBTOTAL(9,B8:B18)</f>
        <v>1058</v>
      </c>
      <c r="C19" s="798">
        <f>SUBTOTAL(9,C8:C18)</f>
        <v>679</v>
      </c>
      <c r="D19" s="799">
        <f>SUBTOTAL(9,D8:D18)</f>
        <v>12378</v>
      </c>
    </row>
    <row r="20" spans="1:4" ht="7.5" customHeight="1"/>
    <row r="21" spans="1:4" ht="6" customHeight="1"/>
    <row r="22" spans="1:4">
      <c r="A22" s="390" t="str">
        <f>Criterios!A4</f>
        <v>Fecha Informe: 09 dic. 2025</v>
      </c>
    </row>
    <row r="27" spans="1:4">
      <c r="A27" s="413"/>
    </row>
  </sheetData>
  <sheetProtection algorithmName="SHA-512" hashValue="GU4q0CyTGPY7S0qfl5Z1OFPVP62mkLB11K24b6Ez3RatRAdeAvKCkUVdeqdPDmfaWpYOAIJZLUXD7kXnY61OZQ==" saltValue="b6sqCe1mrZDSfTlzjIweE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CASTILLA-LA MANCHA</v>
      </c>
    </row>
    <row r="3" spans="1:11" ht="18.75" customHeight="1">
      <c r="A3" s="428" t="s">
        <v>118</v>
      </c>
      <c r="B3" s="390" t="str">
        <f>Criterios!A10 &amp;"  "&amp;Criterios!B10</f>
        <v>Provincias  ALBACETE</v>
      </c>
    </row>
    <row r="4" spans="1:11" ht="10.5" customHeight="1" thickBot="1">
      <c r="B4" s="390" t="str">
        <f>Criterios!A11 &amp;"  "&amp;Criterios!B11</f>
        <v>Resumenes por Partidos Judiciales  ALBACETE</v>
      </c>
    </row>
    <row r="5" spans="1:11" ht="12.75" customHeight="1">
      <c r="A5" s="1209" t="str">
        <f>"Año:  " &amp;Criterios!B5 &amp; "    Trimestre   " &amp;Criterios!D5 &amp; " al " &amp;Criterios!D6</f>
        <v>Año:  2025    Trimestre   3 al 3</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f>IF(ISNUMBER(
   IF(J_V="SI",(Datos!I9-Datos!S9)/Datos!S9,(Datos!I9+Datos!Y9-(Datos!S9+Datos!AG9))/(Datos!S9+Datos!AG9))
     ),IF(J_V="SI",(Datos!I9-Datos!S9)/Datos!S9,(Datos!I9+Datos!Y9-(Datos!S9+Datos!AG9))/(Datos!S9+Datos!AG9))," - ")</f>
        <v>0.16038938463321359</v>
      </c>
      <c r="C9" s="455">
        <f>IF(ISNUMBER(
   IF(J_V="SI",(Datos!J9-Datos!T9)/Datos!T9,(Datos!J9+Datos!Z9-(Datos!T9+Datos!AH9))/(Datos!T9+Datos!AH9))
     ),IF(J_V="SI",(Datos!J9-Datos!T9)/Datos!T9,(Datos!J9+Datos!Z9-(Datos!T9+Datos!AH9))/(Datos!T9+Datos!AH9))," - ")</f>
        <v>-0.29109099571224395</v>
      </c>
      <c r="D9" s="455">
        <f>IF(ISNUMBER(
   IF(J_V="SI",(Datos!K9-Datos!U9)/Datos!U9,(Datos!K9+Datos!AA9-(Datos!U9+Datos!AI9))/(Datos!U9+Datos!AI9))
     ),IF(J_V="SI",(Datos!K9-Datos!U9)/Datos!U9,(Datos!K9+Datos!AA9-(Datos!U9+Datos!AI9))/(Datos!U9+Datos!AI9))," - ")</f>
        <v>8.309990662931839E-2</v>
      </c>
      <c r="E9" s="455">
        <f>IF(ISNUMBER(
   IF(J_V="SI",(Datos!L9-Datos!V9)/Datos!V9,(Datos!L9+Datos!AB9-(Datos!V9+Datos!AJ9))/(Datos!V9+Datos!AJ9))
     ),IF(J_V="SI",(Datos!L9-Datos!V9)/Datos!V9,(Datos!L9+Datos!AB9-(Datos!V9+Datos!AJ9))/(Datos!V9+Datos!AJ9))," - ")</f>
        <v>6.9298858607034705E-2</v>
      </c>
      <c r="F9" s="455">
        <f>IF(ISNUMBER((Datos!M9-Datos!W9)/Datos!W9),(Datos!M9-Datos!W9)/Datos!W9," - ")</f>
        <v>1.3311148086522463E-2</v>
      </c>
      <c r="G9" s="456">
        <f>IF(ISNUMBER((Datos!N9-Datos!X9)/Datos!X9),(Datos!N9-Datos!X9)/Datos!X9," - ")</f>
        <v>0.23932729624838292</v>
      </c>
      <c r="H9" s="454">
        <f>IF(ISNUMBER(((NºAsuntos!G9/NºAsuntos!E9)-Datos!BD9)/Datos!BD9),((NºAsuntos!G9/NºAsuntos!E9)-Datos!BD9)/Datos!BD9," - ")</f>
        <v>0.52784052689176031</v>
      </c>
      <c r="I9" s="455">
        <f>IF(ISNUMBER(((NºAsuntos!I9/NºAsuntos!G9)-Datos!BE9)/Datos!BE9),((NºAsuntos!I9/NºAsuntos!G9)-Datos!BE9)/Datos!BE9," - ")</f>
        <v>-1.2742174510229139E-2</v>
      </c>
      <c r="J9" s="460">
        <f>IF(ISNUMBER((('Resol  Asuntos'!D9/NºAsuntos!G9)-Datos!BF9)/Datos!BF9),(('Resol  Asuntos'!D9/NºAsuntos!G9)-Datos!BF9)/Datos!BF9," - ")</f>
        <v>-0.27260672703751615</v>
      </c>
      <c r="K9" s="461">
        <f>IF(ISNUMBER((((NºAsuntos!C9+NºAsuntos!E9)/NºAsuntos!G9)-Datos!BG9)/Datos!BG9),(((NºAsuntos!C9+NºAsuntos!E9)/NºAsuntos!G9)-Datos!BG9)/Datos!BG9," - ")</f>
        <v>-1.0198015505669964E-2</v>
      </c>
    </row>
    <row r="10" spans="1:11" ht="21">
      <c r="A10" s="401" t="str">
        <f>Datos!A10</f>
        <v>Jdos. Violencia contra la mujer/Secc Viol. TI.</v>
      </c>
      <c r="B10" s="454">
        <f>IF(ISNUMBER((Datos!I10-Datos!S10)/Datos!S10),(Datos!I10-Datos!S10)/Datos!S10," - ")</f>
        <v>-0.10666666666666667</v>
      </c>
      <c r="C10" s="455">
        <f>IF(ISNUMBER((Datos!J10-Datos!T10)/Datos!T10),(Datos!J10-Datos!T10)/Datos!T10," - ")</f>
        <v>-0.55319148936170215</v>
      </c>
      <c r="D10" s="455">
        <f>IF(ISNUMBER((Datos!K10-Datos!U10)/Datos!U10),(Datos!K10-Datos!U10)/Datos!U10," - ")</f>
        <v>0</v>
      </c>
      <c r="E10" s="455">
        <f>IF(ISNUMBER((Datos!L10-Datos!V10)/Datos!V10),(Datos!L10-Datos!V10)/Datos!V10," - ")</f>
        <v>-0.34</v>
      </c>
      <c r="F10" s="455">
        <f>IF(ISNUMBER((Datos!M10-Datos!W10)/Datos!W10),(Datos!M10-Datos!W10)/Datos!W10," - ")</f>
        <v>1.25</v>
      </c>
      <c r="G10" s="456">
        <f>IF(ISNUMBER((Datos!N10-Datos!X10)/Datos!X10),(Datos!N10-Datos!X10)/Datos!X10," - ")</f>
        <v>-0.26666666666666666</v>
      </c>
      <c r="H10" s="454">
        <f>IF(ISNUMBER(((NºAsuntos!G10/NºAsuntos!E10)-Datos!BD10)/Datos!BD10),((NºAsuntos!G10/NºAsuntos!E10)-Datos!BD10)/Datos!BD10," - ")</f>
        <v>1.2380952380952381</v>
      </c>
      <c r="I10" s="455">
        <f>IF(ISNUMBER(((NºAsuntos!I10/NºAsuntos!G10)-Datos!BE10)/Datos!BE10),((NºAsuntos!I10/NºAsuntos!G10)-Datos!BE10)/Datos!BE10," - ")</f>
        <v>-0.34000000000000008</v>
      </c>
      <c r="J10" s="460">
        <f>IF(ISNUMBER((('Resol  Asuntos'!D10/NºAsuntos!G10)-Datos!BF10)/Datos!BF10),(('Resol  Asuntos'!D10/NºAsuntos!G10)-Datos!BF10)/Datos!BF10," - ")</f>
        <v>1.25</v>
      </c>
      <c r="K10" s="461">
        <f>IF(ISNUMBER((((NºAsuntos!C10+NºAsuntos!E10)/NºAsuntos!G10)-Datos!BG10)/Datos!BG10),(((NºAsuntos!C10+NºAsuntos!E10)/NºAsuntos!G10)-Datos!BG10)/Datos!BG10," - ")</f>
        <v>-0.27868852459016397</v>
      </c>
    </row>
    <row r="11" spans="1:11">
      <c r="A11" s="401" t="str">
        <f>Datos!A11</f>
        <v xml:space="preserve">Jdos. Familia                                   </v>
      </c>
      <c r="B11" s="454">
        <f>IF(ISNUMBER(
   IF(J_V="SI",(Datos!I11-Datos!S11)/Datos!S11,(Datos!I11+Datos!Y11-(Datos!S11+Datos!AG11))/(Datos!S11+Datos!AG11))
     ),IF(J_V="SI",(Datos!I11-Datos!S11)/Datos!S11,(Datos!I11+Datos!Y11-(Datos!S11+Datos!AG11))/(Datos!S11+Datos!AG11))," - ")</f>
        <v>-2.4883359253499222E-2</v>
      </c>
      <c r="C11" s="455">
        <f>IF(ISNUMBER(
   IF(J_V="SI",(Datos!J11-Datos!T11)/Datos!T11,(Datos!J11+Datos!Z11-(Datos!T11+Datos!AH11))/(Datos!T11+Datos!AH11))
     ),IF(J_V="SI",(Datos!J11-Datos!T11)/Datos!T11,(Datos!J11+Datos!Z11-(Datos!T11+Datos!AH11))/(Datos!T11+Datos!AH11))," - ")</f>
        <v>6.4439140811455853E-2</v>
      </c>
      <c r="D11" s="455">
        <f>IF(ISNUMBER(
   IF(J_V="SI",(Datos!K11-Datos!U11)/Datos!U11,(Datos!K11+Datos!AA11-(Datos!U11+Datos!AI11))/(Datos!U11+Datos!AI11))
     ),IF(J_V="SI",(Datos!K11-Datos!U11)/Datos!U11,(Datos!K11+Datos!AA11-(Datos!U11+Datos!AI11))/(Datos!U11+Datos!AI11))," - ")</f>
        <v>-4.9504950495049506E-3</v>
      </c>
      <c r="E11" s="455">
        <f>IF(ISNUMBER(
   IF(J_V="SI",(Datos!L11-Datos!V11)/Datos!V11,(Datos!L11+Datos!AB11-(Datos!V11+Datos!AJ11))/(Datos!V11+Datos!AJ11))
     ),IF(J_V="SI",(Datos!L11-Datos!V11)/Datos!V11,(Datos!L11+Datos!AB11-(Datos!V11+Datos!AJ11))/(Datos!V11+Datos!AJ11))," - ")</f>
        <v>4.8437500000000001E-2</v>
      </c>
      <c r="F11" s="455">
        <f>IF(ISNUMBER((Datos!M11-Datos!W11)/Datos!W11),(Datos!M11-Datos!W11)/Datos!W11," - ")</f>
        <v>-5.4945054945054944E-2</v>
      </c>
      <c r="G11" s="456">
        <f>IF(ISNUMBER((Datos!N11-Datos!X11)/Datos!X11),(Datos!N11-Datos!X11)/Datos!X11," - ")</f>
        <v>-3.7313432835820892E-2</v>
      </c>
      <c r="H11" s="454">
        <f>IF(ISNUMBER(((NºAsuntos!G11/NºAsuntos!E11)-Datos!BD11)/Datos!BD11),((NºAsuntos!G11/NºAsuntos!E11)-Datos!BD11)/Datos!BD11," - ")</f>
        <v>-6.5188917994938492E-2</v>
      </c>
      <c r="I11" s="455">
        <f>IF(ISNUMBER(((NºAsuntos!I11/NºAsuntos!G11)-Datos!BE11)/Datos!BE11),((NºAsuntos!I11/NºAsuntos!G11)-Datos!BE11)/Datos!BE11," - ")</f>
        <v>5.3653606965174017E-2</v>
      </c>
      <c r="J11" s="460">
        <f>IF(ISNUMBER((('Resol  Asuntos'!D11/NºAsuntos!G11)-Datos!BF11)/Datos!BF11),(('Resol  Asuntos'!D11/NºAsuntos!G11)-Datos!BF11)/Datos!BF11," - ")</f>
        <v>-0.67750798247568123</v>
      </c>
      <c r="K11" s="461">
        <f>IF(ISNUMBER((((NºAsuntos!C11+NºAsuntos!E11)/NºAsuntos!G11)-Datos!BG11)/Datos!BG11),(((NºAsuntos!C11+NºAsuntos!E11)/NºAsuntos!G11)-Datos!BG11)/Datos!BG11," - ")</f>
        <v>1.5384471240782819E-2</v>
      </c>
    </row>
    <row r="12" spans="1:11" ht="21.75" thickBot="1">
      <c r="A12" s="401" t="str">
        <f>Datos!A12</f>
        <v xml:space="preserve">Jdos. 1ª Instª. e Instr./Secc. Civil y de Inst. TI                      </v>
      </c>
      <c r="B12" s="454" t="str">
        <f>IF(ISNUMBER(
   IF(J_V="SI",(Datos!I12-Datos!S12)/Datos!S12,(Datos!I12+Datos!Y12-(Datos!S12+Datos!AG12))/(Datos!S12+Datos!AG12))
     ),IF(J_V="SI",(Datos!I12-Datos!S12)/Datos!S12,(Datos!I12+Datos!Y12-(Datos!S12+Datos!AG12))/(Datos!S12+Datos!AG12))," - ")</f>
        <v xml:space="preserve"> - </v>
      </c>
      <c r="C12" s="455" t="str">
        <f>IF(ISNUMBER(
   IF(J_V="SI",(Datos!J12-Datos!T12)/Datos!T12,(Datos!J12+Datos!Z12-(Datos!T12+Datos!AH12))/(Datos!T12+Datos!AH12))
     ),IF(J_V="SI",(Datos!J12-Datos!T12)/Datos!T12,(Datos!J12+Datos!Z12-(Datos!T12+Datos!AH12))/(Datos!T12+Datos!AH12))," - ")</f>
        <v xml:space="preserve"> - </v>
      </c>
      <c r="D12" s="455" t="str">
        <f>IF(ISNUMBER(
   IF(J_V="SI",(Datos!K12-Datos!U12)/Datos!U12,(Datos!K12+Datos!AA12-(Datos!U12+Datos!AI12))/(Datos!U12+Datos!AI12))
     ),IF(J_V="SI",(Datos!K12-Datos!U12)/Datos!U12,(Datos!K12+Datos!AA12-(Datos!U12+Datos!AI12))/(Datos!U12+Datos!AI12))," - ")</f>
        <v xml:space="preserve"> - </v>
      </c>
      <c r="E12" s="455" t="str">
        <f>IF(ISNUMBER(
   IF(J_V="SI",(Datos!L12-Datos!V12)/Datos!V12,(Datos!L12+Datos!AB12-(Datos!V12+Datos!AJ12))/(Datos!V12+Datos!AJ12))
     ),IF(J_V="SI",(Datos!L12-Datos!V12)/Datos!V12,(Datos!L12+Datos!AB12-(Datos!V12+Datos!AJ12))/(Datos!V12+Datos!AJ12))," - ")</f>
        <v xml:space="preserve"> - </v>
      </c>
      <c r="F12" s="455" t="str">
        <f>IF(ISNUMBER((Datos!M12-Datos!W12)/Datos!W12),(Datos!M12-Datos!W12)/Datos!W12," - ")</f>
        <v xml:space="preserve"> - </v>
      </c>
      <c r="G12" s="456" t="str">
        <f>IF(ISNUMBER((Datos!N12-Datos!X12)/Datos!X12),(Datos!N12-Datos!X12)/Datos!X12," - ")</f>
        <v xml:space="preserve"> - </v>
      </c>
      <c r="H12" s="454" t="str">
        <f>IF(ISNUMBER(((NºAsuntos!G12/NºAsuntos!E12)-Datos!BD12)/Datos!BD12),((NºAsuntos!G12/NºAsuntos!E12)-Datos!BD12)/Datos!BD12," - ")</f>
        <v xml:space="preserve"> - </v>
      </c>
      <c r="I12" s="455" t="str">
        <f>IF(ISNUMBER(((NºAsuntos!I12/NºAsuntos!G12)-Datos!BE12)/Datos!BE12),((NºAsuntos!I12/NºAsuntos!G12)-Datos!BE12)/Datos!BE12," - ")</f>
        <v xml:space="preserve"> - </v>
      </c>
      <c r="J12" s="460" t="str">
        <f>IF(ISNUMBER((('Resol  Asuntos'!D12/NºAsuntos!G12)-Datos!BF12)/Datos!BF12),(('Resol  Asuntos'!D12/NºAsuntos!G12)-Datos!BF12)/Datos!BF12," - ")</f>
        <v xml:space="preserve"> - </v>
      </c>
      <c r="K12" s="461" t="str">
        <f>IF(ISNUMBER((((NºAsuntos!C12+NºAsuntos!E12)/NºAsuntos!G12)-Datos!BG12)/Datos!BG12),(((NºAsuntos!C12+NºAsuntos!E12)/NºAsuntos!G12)-Datos!BG12)/Datos!BG12," - ")</f>
        <v xml:space="preserve"> - </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0.14550123034128598</v>
      </c>
      <c r="C13" s="854">
        <f>IF(ISNUMBER(
   IF(J_V="SI",(Datos!J13-Datos!T13)/Datos!T13,(Datos!J13+Datos!Z13-(Datos!T13+Datos!AH13))/(Datos!T13+Datos!AH13))
     ),IF(J_V="SI",(Datos!J13-Datos!T13)/Datos!T13,(Datos!J13+Datos!Z13-(Datos!T13+Datos!AH13))/(Datos!T13+Datos!AH13))," - ")</f>
        <v>-0.23781676413255359</v>
      </c>
      <c r="D13" s="854">
        <f>IF(ISNUMBER(
   IF(J_V="SI",(Datos!K13-Datos!U13)/Datos!U13,(Datos!K13+Datos!AA13-(Datos!U13+Datos!AI13))/(Datos!U13+Datos!AI13))
     ),IF(J_V="SI",(Datos!K13-Datos!U13)/Datos!U13,(Datos!K13+Datos!AA13-(Datos!U13+Datos!AI13))/(Datos!U13+Datos!AI13))," - ")</f>
        <v>6.8535825545171333E-2</v>
      </c>
      <c r="E13" s="854">
        <f>IF(ISNUMBER(
   IF(J_V="SI",(Datos!L13-Datos!V13)/Datos!V13,(Datos!L13+Datos!AB13-(Datos!V13+Datos!AJ13))/(Datos!V13+Datos!AJ13))
     ),IF(J_V="SI",(Datos!L13-Datos!V13)/Datos!V13,(Datos!L13+Datos!AB13-(Datos!V13+Datos!AJ13))/(Datos!V13+Datos!AJ13))," - ")</f>
        <v>6.3478447351490455E-2</v>
      </c>
      <c r="F13" s="855">
        <f>IF(ISNUMBER((Datos!M13-Datos!W13)/Datos!W13),(Datos!M13-Datos!W13)/Datos!W13," - ")</f>
        <v>1.1494252873563218E-2</v>
      </c>
      <c r="G13" s="856">
        <f>IF(ISNUMBER((Datos!N13-Datos!X13)/Datos!X13),(Datos!N13-Datos!X13)/Datos!X13," - ")</f>
        <v>0.16193181818181818</v>
      </c>
      <c r="H13" s="856">
        <f>IF(ISNUMBER(((NºAsuntos!G13/NºAsuntos!E13)-Datos!BD13)/Datos!BD13),((NºAsuntos!G13/NºAsuntos!E13)-Datos!BD13)/Datos!BD13," - ")</f>
        <v>0.40194086574085131</v>
      </c>
      <c r="I13" s="856">
        <f>IF(ISNUMBER(((NºAsuntos!I13/NºAsuntos!G13)-Datos!BE13)/Datos!BE13),((NºAsuntos!I13/NºAsuntos!G13)-Datos!BE13)/Datos!BE13," - ")</f>
        <v>-4.7329982512291421E-3</v>
      </c>
      <c r="J13" s="856">
        <f>IF(ISNUMBER((('Resol  Asuntos'!D13/NºAsuntos!G13)-Datos!BF13)/Datos!BF13),(('Resol  Asuntos'!D13/NºAsuntos!G13)-Datos!BF13)/Datos!BF13," - ")</f>
        <v>-0.36952585545496391</v>
      </c>
      <c r="K13" s="856">
        <f>IF(ISNUMBER((((NºAsuntos!C13+NºAsuntos!E13)/NºAsuntos!G13)-Datos!BG13)/Datos!BG13),(((NºAsuntos!C13+NºAsuntos!E13)/NºAsuntos!G13)-Datos!BG13)/Datos!BG13," - ")</f>
        <v>-5.2165834193219846E-3</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f>IF(ISNUMBER(
   IF(D_I="SI",(Datos!I15-Datos!S15)/Datos!S15,(Datos!I15+Datos!AC15-(Datos!S15+Datos!AK15))/(Datos!S15+Datos!AK15))
     ),IF(D_I="SI",(Datos!I15-Datos!S15)/Datos!S15,(Datos!I15+Datos!AC15-(Datos!S15+Datos!AK15))/(Datos!S15+Datos!AK15))," - ")</f>
        <v>-9.2432432432432432E-2</v>
      </c>
      <c r="C15" s="455">
        <f>IF(ISNUMBER(
   IF(D_I="SI",(Datos!J15-Datos!T15)/Datos!T15,(Datos!J15+Datos!AD15-(Datos!T15+Datos!AL15))/(Datos!T15+Datos!AL15))
     ),IF(D_I="SI",(Datos!J15-Datos!T15)/Datos!T15,(Datos!J15+Datos!AD15-(Datos!T15+Datos!AL15))/(Datos!T15+Datos!AL15))," - ")</f>
        <v>0.13752913752913754</v>
      </c>
      <c r="D15" s="455">
        <f>IF(ISNUMBER(
   IF(D_I="SI",(Datos!K15-Datos!U15)/Datos!U15,(Datos!K15+Datos!AE15-(Datos!U15+Datos!AM15))/(Datos!U15+Datos!AM15))
     ),IF(D_I="SI",(Datos!K15-Datos!U15)/Datos!U15,(Datos!K15+Datos!AE15-(Datos!U15+Datos!AM15))/(Datos!U15+Datos!AM15))," - ")</f>
        <v>0.14445007602635582</v>
      </c>
      <c r="E15" s="455">
        <f>IF(ISNUMBER(
   IF(D_I="SI",(Datos!L15-Datos!V15)/Datos!V15,(Datos!L15+Datos!AF15-(Datos!V15+Datos!AN15))/(Datos!V15+Datos!AN15))
     ),IF(D_I="SI",(Datos!L15-Datos!V15)/Datos!V15,(Datos!L15+Datos!AF15-(Datos!V15+Datos!AN15))/(Datos!V15+Datos!AN15))," - ")</f>
        <v>-9.0585241730279903E-2</v>
      </c>
      <c r="F15" s="455">
        <f>IF(ISNUMBER((Datos!M15-Datos!W15)/Datos!W15),(Datos!M15-Datos!W15)/Datos!W15," - ")</f>
        <v>-2.359882005899705E-2</v>
      </c>
      <c r="G15" s="456">
        <f>IF(ISNUMBER((Datos!N15-Datos!X15)/Datos!X15),(Datos!N15-Datos!X15)/Datos!X15," - ")</f>
        <v>1.7117117117117116E-2</v>
      </c>
      <c r="H15" s="454">
        <f>IF(ISNUMBER(((NºAsuntos!G15/NºAsuntos!E15)-Datos!BD15)/Datos!BD15),((NºAsuntos!G15/NºAsuntos!E15)-Datos!BD15)/Datos!BD15," - ")</f>
        <v>6.0841856871038545E-3</v>
      </c>
      <c r="I15" s="455">
        <f>IF(ISNUMBER(((NºAsuntos!I15/NºAsuntos!G15)-Datos!BE15)/Datos!BE15),((NºAsuntos!I15/NºAsuntos!G15)-Datos!BE15)/Datos!BE15," - ")</f>
        <v>-0.20536965541799929</v>
      </c>
      <c r="J15" s="460">
        <f>IF(ISNUMBER((('Resol  Asuntos'!D15/NºAsuntos!G15)-Datos!BF15)/Datos!BF15),(('Resol  Asuntos'!D15/NºAsuntos!G15)-Datos!BF15)/Datos!BF15," - ")</f>
        <v>-0.14683811867865423</v>
      </c>
      <c r="K15" s="461">
        <f>IF(ISNUMBER((((NºAsuntos!C15+NºAsuntos!E15)/NºAsuntos!G15)-Datos!BG15)/Datos!BG15),(((NºAsuntos!C15+NºAsuntos!E15)/NºAsuntos!G15)-Datos!BG15)/Datos!BG15," - ")</f>
        <v>-0.13324402694042509</v>
      </c>
    </row>
    <row r="16" spans="1:11" ht="21">
      <c r="A16" s="401" t="str">
        <f>Datos!A16</f>
        <v xml:space="preserve">Jdos. 1ª Instª. e Instr./Secc. Civil y de Inst. TI                      </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-0.16298342541436464</v>
      </c>
      <c r="C17" s="455">
        <f>IF(ISNUMBER(
   IF(D_I="SI",(Datos!J17-Datos!T17)/Datos!T17,(Datos!J17+Datos!AD17-(Datos!T17+Datos!AL17))/(Datos!T17+Datos!AL17))
     ),IF(D_I="SI",(Datos!J17-Datos!T17)/Datos!T17,(Datos!J17+Datos!AD17-(Datos!T17+Datos!AL17))/(Datos!T17+Datos!AL17))," - ")</f>
        <v>6.6945606694560664E-2</v>
      </c>
      <c r="D17" s="455">
        <f>IF(ISNUMBER(
   IF(D_I="SI",(Datos!K17-Datos!U17)/Datos!U17,(Datos!K17+Datos!AE17-(Datos!U17+Datos!AM17))/(Datos!U17+Datos!AM17))
     ),IF(D_I="SI",(Datos!K17-Datos!U17)/Datos!U17,(Datos!K17+Datos!AE17-(Datos!U17+Datos!AM17))/(Datos!U17+Datos!AM17))," - ")</f>
        <v>-2.8037383177570093E-2</v>
      </c>
      <c r="E17" s="455">
        <f>IF(ISNUMBER(
   IF(D_I="SI",(Datos!L17-Datos!V17)/Datos!V17,(Datos!L17+Datos!AF17-(Datos!V17+Datos!AN17))/(Datos!V17+Datos!AN17))
     ),IF(D_I="SI",(Datos!L17-Datos!V17)/Datos!V17,(Datos!L17+Datos!AF17-(Datos!V17+Datos!AN17))/(Datos!V17+Datos!AN17))," - ")</f>
        <v>-9.5607235142118857E-2</v>
      </c>
      <c r="F17" s="455">
        <f>IF(ISNUMBER((Datos!M17-Datos!W17)/Datos!W17),(Datos!M17-Datos!W17)/Datos!W17," - ")</f>
        <v>-0.42307692307692307</v>
      </c>
      <c r="G17" s="456">
        <f>IF(ISNUMBER((Datos!N17-Datos!X17)/Datos!X17),(Datos!N17-Datos!X17)/Datos!X17," - ")</f>
        <v>5.5118110236220472E-2</v>
      </c>
      <c r="H17" s="454">
        <f>IF(ISNUMBER(((NºAsuntos!G17/NºAsuntos!E17)-Datos!BD17)/Datos!BD17),((NºAsuntos!G17/NºAsuntos!E17)-Datos!BD17)/Datos!BD17," - ")</f>
        <v>-8.9023272860546107E-2</v>
      </c>
      <c r="I17" s="455">
        <f>IF(ISNUMBER(((NºAsuntos!I17/NºAsuntos!G17)-Datos!BE17)/Datos!BE17),((NºAsuntos!I17/NºAsuntos!G17)-Datos!BE17)/Datos!BE17," - ")</f>
        <v>-6.9518982309679941E-2</v>
      </c>
      <c r="J17" s="460">
        <f>IF(ISNUMBER((('Resol  Asuntos'!D17/NºAsuntos!G17)-Datos!BF17)/Datos!BF17),(('Resol  Asuntos'!D17/NºAsuntos!G17)-Datos!BF17)/Datos!BF17," - ")</f>
        <v>-0.40643491124260361</v>
      </c>
      <c r="K17" s="461">
        <f>IF(ISNUMBER((((NºAsuntos!C17+NºAsuntos!E17)/NºAsuntos!G17)-Datos!BG17)/Datos!BG17),(((NºAsuntos!C17+NºAsuntos!E17)/NºAsuntos!G17)-Datos!BG17)/Datos!BG17," - ")</f>
        <v>-4.4765135031358115E-2</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-9.8719842442146724E-2</v>
      </c>
      <c r="C18" s="854">
        <f>IF(ISNUMBER(
   IF(Criterios!B14="SI",(Datos!J18-Datos!T18)/Datos!T18,(Datos!J18+Datos!AD18-(Datos!T18+Datos!AL18))/(Datos!T18+Datos!AL18))
     ),IF(Criterios!B14="SI",(Datos!J18-Datos!T18)/Datos!T18,(Datos!J18+Datos!AD18-(Datos!T18+Datos!AL18))/(Datos!T18+Datos!AL18))," - ")</f>
        <v>0.13045302013422819</v>
      </c>
      <c r="D18" s="854">
        <f>IF(ISNUMBER(
   IF(Criterios!B14="SI",(Datos!K18-Datos!U18)/Datos!U18,(Datos!K18+Datos!AE18-(Datos!U18+Datos!AM18))/(Datos!U18+Datos!AM18))
     ),IF(Criterios!B14="SI",(Datos!K18-Datos!U18)/Datos!U18,(Datos!K18+Datos!AE18-(Datos!U18+Datos!AM18))/(Datos!U18+Datos!AM18))," - ")</f>
        <v>0.12757201646090535</v>
      </c>
      <c r="E18" s="854">
        <f>IF(ISNUMBER(
   IF(Criterios!B14="SI",(Datos!L18-Datos!V18)/Datos!V18,(Datos!L18+Datos!AF18-(Datos!V18+Datos!AN18))/(Datos!V18+Datos!AN18))
     ),IF(Criterios!B14="SI",(Datos!L18-Datos!V18)/Datos!V18,(Datos!L18+Datos!AF18-(Datos!V18+Datos!AN18))/(Datos!V18+Datos!AN18))," - ")</f>
        <v>-9.1035441278665738E-2</v>
      </c>
      <c r="F18" s="855">
        <f>IF(ISNUMBER((Datos!M18-Datos!W18)/Datos!W18),(Datos!M18-Datos!W18)/Datos!W18," - ")</f>
        <v>-5.2054794520547946E-2</v>
      </c>
      <c r="G18" s="856">
        <f>IF(ISNUMBER((Datos!N18-Datos!X18)/Datos!X18),(Datos!N18-Datos!X18)/Datos!X18," - ")</f>
        <v>2.1018593371059015E-2</v>
      </c>
      <c r="H18" s="856">
        <f>IF(ISNUMBER(((NºAsuntos!G18/NºAsuntos!E18)-Datos!BD18)/Datos!BD18),((NºAsuntos!G18/NºAsuntos!E18)-Datos!BD18)/Datos!BD18," - ")</f>
        <v>-2.5485390564755402E-3</v>
      </c>
      <c r="I18" s="856">
        <f>IF(ISNUMBER(((NºAsuntos!I18/NºAsuntos!G18)-Datos!BE18)/Datos!BE18),((NºAsuntos!I18/NºAsuntos!G18)-Datos!BE18)/Datos!BE18," - ")</f>
        <v>-0.19387449719239327</v>
      </c>
      <c r="J18" s="856">
        <f>IF(ISNUMBER((('Resol  Asuntos'!D18/NºAsuntos!G18)-Datos!BF18)/Datos!BF18),(('Resol  Asuntos'!D18/NºAsuntos!G18)-Datos!BF18)/Datos!BF18," - ")</f>
        <v>-0.15930406959304064</v>
      </c>
      <c r="K18" s="856">
        <f>IF(ISNUMBER((((NºAsuntos!C18+NºAsuntos!E18)/NºAsuntos!G18)-Datos!BG18)/Datos!BG18),(((NºAsuntos!C18+NºAsuntos!E18)/NºAsuntos!G18)-Datos!BG18)/Datos!BG18," - ")</f>
        <v>-0.1255211742244951</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7.1519128943247079E-2</v>
      </c>
      <c r="C19" s="801">
        <f>IF(ISNUMBER(
   IF(J_V="SI",(Datos!J19-Datos!T19)/Datos!T19,(Datos!J19+Datos!Z19-(Datos!T19+Datos!AH19))/(Datos!T19+Datos!AH19))
     ),IF(J_V="SI",(Datos!J19-Datos!T19)/Datos!T19,(Datos!J19+Datos!Z19-(Datos!T19+Datos!AH19))/(Datos!T19+Datos!AH19))," - ")</f>
        <v>-6.0416245706203277E-2</v>
      </c>
      <c r="D19" s="801">
        <f>IF(ISNUMBER(
   IF(J_V="SI",(Datos!K19-Datos!U19)/Datos!U19,(Datos!K19+Datos!AA19-(Datos!U19+Datos!AI19))/(Datos!U19+Datos!AI19))
     ),IF(J_V="SI",(Datos!K19-Datos!U19)/Datos!U19,(Datos!K19+Datos!AA19-(Datos!U19+Datos!AI19))/(Datos!U19+Datos!AI19))," - ")</f>
        <v>9.5688748685594113E-2</v>
      </c>
      <c r="E19" s="801">
        <f>IF(ISNUMBER(
   IF(J_V="SI",(Datos!L19-Datos!V19)/Datos!V19,(Datos!L19+Datos!AB19-(Datos!V19+Datos!AJ19))/(Datos!V19+Datos!AJ19))
     ),IF(J_V="SI",(Datos!L19-Datos!V19)/Datos!V19,(Datos!L19+Datos!AB19-(Datos!V19+Datos!AJ19))/(Datos!V19+Datos!AJ19))," - ")</f>
        <v>1.4586234699113099E-2</v>
      </c>
      <c r="F19" s="802">
        <f>IF(ISNUMBER((Datos!M19-Datos!W19)/Datos!W19),(Datos!M19-Datos!W19)/Datos!W19," - ")</f>
        <v>-1.0367577756833177E-2</v>
      </c>
      <c r="G19" s="803">
        <f>IF(ISNUMBER((Datos!N19-Datos!X19)/Datos!X19),(Datos!N19-Datos!X19)/Datos!X19," - ")</f>
        <v>8.5913650239860445E-2</v>
      </c>
      <c r="H19" s="804">
        <f>IF(ISNUMBER((Tasas!B19-Datos!BD19)/Datos!BD19),(Tasas!B19-Datos!BD19)/Datos!BD19," - ")</f>
        <v>0.16614271338602252</v>
      </c>
      <c r="I19" s="805">
        <f>IF(ISNUMBER((Tasas!C19-Datos!BE19)/Datos!BE19),(Tasas!C19-Datos!BE19)/Datos!BE19," - ")</f>
        <v>-7.4019664876337349E-2</v>
      </c>
      <c r="J19" s="806">
        <f>IF(ISNUMBER((Tasas!D19-Datos!BF19)/Datos!BF19),(Tasas!D19-Datos!BF19)/Datos!BF19," - ")</f>
        <v>-0.3203536570425124</v>
      </c>
      <c r="K19" s="806">
        <f>IF(ISNUMBER((Tasas!E19-Datos!BG19)/Datos!BG19),(Tasas!E19-Datos!BG19)/Datos!BG19," - ")</f>
        <v>-5.4520154596394636E-2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09 dic. 2025</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J66HF2izfl/NrPJdx8DoPj5U2YfSUcbBOWX+KdxjYlCVDvcPPGngQ5VqsJffTc3frS8BL/NT8BydQ92H7P1sTQ==" saltValue="R03m0loyd+xD0y0cgZ/vD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CASTILLA-LA MANCHA</v>
      </c>
    </row>
    <row r="3" spans="1:7" ht="19.5">
      <c r="A3" s="435" t="s">
        <v>12</v>
      </c>
      <c r="B3" s="390" t="str">
        <f>Criterios!A10 &amp;"  "&amp;Criterios!B10</f>
        <v>Provincias  ALBACETE</v>
      </c>
    </row>
    <row r="4" spans="1:7" ht="11.25" customHeight="1" thickBot="1">
      <c r="B4" s="390" t="str">
        <f>Criterios!A11 &amp;"  "&amp;Criterios!B11</f>
        <v>Resumenes por Partidos Judiciales  ALBACETE</v>
      </c>
    </row>
    <row r="5" spans="1:7" ht="12.75" customHeight="1">
      <c r="A5" s="1209" t="str">
        <f>"Año:  " &amp;Criterios!B5 &amp; "    Trimestre   " &amp;Criterios!D5 &amp; " al " &amp;Criterios!D6</f>
        <v>Año:  2025    Trimestre   3 al 3</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f>IF(ISNUMBER(NºAsuntos!G9/NºAsuntos!E9),NºAsuntos!G9/NºAsuntos!E9," - ")</f>
        <v>1.5591397849462365</v>
      </c>
      <c r="C9" s="442">
        <f>IF(ISNUMBER(NºAsuntos!I9/NºAsuntos!G9),NºAsuntos!I9/NºAsuntos!G9," - ")</f>
        <v>3.9573275862068966</v>
      </c>
      <c r="D9" s="443">
        <f>IF(ISNUMBER('Resol  Asuntos'!D9/NºAsuntos!G9),'Resol  Asuntos'!D9/NºAsuntos!G9," - ")</f>
        <v>0.26250000000000001</v>
      </c>
      <c r="E9" s="444">
        <f>IF(ISNUMBER((NºAsuntos!C9+NºAsuntos!E9)/NºAsuntos!G9),(NºAsuntos!C9+NºAsuntos!E9)/NºAsuntos!G9," - ")</f>
        <v>4.9573275862068966</v>
      </c>
      <c r="G9" s="462"/>
    </row>
    <row r="10" spans="1:7" ht="21">
      <c r="A10" s="401" t="str">
        <f>Datos!A10</f>
        <v>Jdos. Violencia contra la mujer/Secc Viol. TI.</v>
      </c>
      <c r="B10" s="441">
        <f>IF(ISNUMBER(NºAsuntos!G10/NºAsuntos!E10),NºAsuntos!G10/NºAsuntos!E10," - ")</f>
        <v>1.0476190476190477</v>
      </c>
      <c r="C10" s="442">
        <f>IF(ISNUMBER(NºAsuntos!I10/NºAsuntos!G10),NºAsuntos!I10/NºAsuntos!G10," - ")</f>
        <v>3</v>
      </c>
      <c r="D10" s="443">
        <f>IF(ISNUMBER('Resol  Asuntos'!D10/NºAsuntos!G10),'Resol  Asuntos'!D10/NºAsuntos!G10," - ")</f>
        <v>0.40909090909090912</v>
      </c>
      <c r="E10" s="444">
        <f>IF(ISNUMBER((NºAsuntos!C10+NºAsuntos!E10)/NºAsuntos!G10),(NºAsuntos!C10+NºAsuntos!E10)/NºAsuntos!G10," - ")</f>
        <v>4</v>
      </c>
      <c r="G10" s="462"/>
    </row>
    <row r="11" spans="1:7">
      <c r="A11" s="401" t="str">
        <f>Datos!A11</f>
        <v xml:space="preserve">Jdos. Familia                                   </v>
      </c>
      <c r="B11" s="441">
        <f>IF(ISNUMBER(NºAsuntos!G11/NºAsuntos!E11),NºAsuntos!G11/NºAsuntos!E11," - ")</f>
        <v>0.90134529147982068</v>
      </c>
      <c r="C11" s="442">
        <f>IF(ISNUMBER(NºAsuntos!I11/NºAsuntos!G11),NºAsuntos!I11/NºAsuntos!G11," - ")</f>
        <v>1.6691542288557213</v>
      </c>
      <c r="D11" s="443">
        <f>IF(ISNUMBER('Resol  Asuntos'!D11/NºAsuntos!G11),'Resol  Asuntos'!D11/NºAsuntos!G11," - ")</f>
        <v>0.21393034825870647</v>
      </c>
      <c r="E11" s="444">
        <f>IF(ISNUMBER((NºAsuntos!C11+NºAsuntos!E11)/NºAsuntos!G11),(NºAsuntos!C11+NºAsuntos!E11)/NºAsuntos!G11," - ")</f>
        <v>2.6691542288557213</v>
      </c>
      <c r="G11" s="462"/>
    </row>
    <row r="12" spans="1:7" ht="21.75" thickBot="1">
      <c r="A12" s="401" t="str">
        <f>Datos!A12</f>
        <v xml:space="preserve">Jdos. 1ª Instª. e Instr./Secc. Civil y de Inst. TI                      </v>
      </c>
      <c r="B12" s="441" t="str">
        <f>IF(ISNUMBER(NºAsuntos!G12/NºAsuntos!E12),NºAsuntos!G12/NºAsuntos!E12," - ")</f>
        <v xml:space="preserve"> - </v>
      </c>
      <c r="C12" s="442" t="str">
        <f>IF(ISNUMBER(NºAsuntos!I12/NºAsuntos!G12),NºAsuntos!I12/NºAsuntos!G12," - ")</f>
        <v xml:space="preserve"> - </v>
      </c>
      <c r="D12" s="443" t="str">
        <f>IF(ISNUMBER('Resol  Asuntos'!D12/NºAsuntos!G12),'Resol  Asuntos'!D12/NºAsuntos!G12," - ")</f>
        <v xml:space="preserve"> - </v>
      </c>
      <c r="E12" s="444" t="str">
        <f>IF(ISNUMBER((NºAsuntos!C12+NºAsuntos!E12)/NºAsuntos!G12),(NºAsuntos!C12+NºAsuntos!E12)/NºAsuntos!G12," - ")</f>
        <v xml:space="preserve"> - </v>
      </c>
      <c r="G12" s="462"/>
    </row>
    <row r="13" spans="1:7" ht="14.25" thickTop="1" thickBot="1">
      <c r="A13" s="847" t="str">
        <f>Datos!A13</f>
        <v>TOTAL</v>
      </c>
      <c r="B13" s="857">
        <f>IF(ISNUMBER(NºAsuntos!G13/NºAsuntos!E13),NºAsuntos!G13/NºAsuntos!E13," - ")</f>
        <v>1.4035805626598465</v>
      </c>
      <c r="C13" s="858">
        <f>IF(ISNUMBER(NºAsuntos!I13/NºAsuntos!G13),NºAsuntos!I13/NºAsuntos!G13," - ")</f>
        <v>3.6144314868804663</v>
      </c>
      <c r="D13" s="859">
        <f>IF(ISNUMBER('Resol  Asuntos'!D13/NºAsuntos!G13),'Resol  Asuntos'!D13/NºAsuntos!G13," - ")</f>
        <v>0.2565597667638484</v>
      </c>
      <c r="E13" s="860">
        <f>IF(ISNUMBER((NºAsuntos!C13+NºAsuntos!E13)/NºAsuntos!G13),(NºAsuntos!C13+NºAsuntos!E13)/NºAsuntos!G13," - ")</f>
        <v>4.6144314868804663</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f>IF(ISNUMBER(NºAsuntos!G15/NºAsuntos!E15),NºAsuntos!G15/NºAsuntos!E15," - ")</f>
        <v>0.92540983606557381</v>
      </c>
      <c r="C15" s="442">
        <f>IF(ISNUMBER(NºAsuntos!I15/NºAsuntos!G15),NºAsuntos!I15/NºAsuntos!G15," - ")</f>
        <v>1.5828166519043401</v>
      </c>
      <c r="D15" s="443">
        <f>IF(ISNUMBER('Resol  Asuntos'!D15/NºAsuntos!G15),'Resol  Asuntos'!D15/NºAsuntos!G15," - ")</f>
        <v>0.14658990256864482</v>
      </c>
      <c r="E15" s="444">
        <f>IF(ISNUMBER((NºAsuntos!C15+NºAsuntos!E15)/NºAsuntos!G15),(NºAsuntos!C15+NºAsuntos!E15)/NºAsuntos!G15," - ")</f>
        <v>2.5677590788308238</v>
      </c>
      <c r="G15" s="462"/>
    </row>
    <row r="16" spans="1:7" ht="21">
      <c r="A16" s="401" t="str">
        <f>Datos!A16</f>
        <v xml:space="preserve">Jdos. 1ª Instª. e Instr./Secc. Civil y de Inst. TI                      </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ht="21.75" thickBot="1">
      <c r="A17" s="401" t="str">
        <f>Datos!A17</f>
        <v>Jdos. Violencia contra la mujer/Secc Viol. TI.</v>
      </c>
      <c r="B17" s="441">
        <f>IF(ISNUMBER(NºAsuntos!G17/NºAsuntos!E17),NºAsuntos!G17/NºAsuntos!E17," - ")</f>
        <v>0.81568627450980391</v>
      </c>
      <c r="C17" s="442">
        <f>IF(ISNUMBER(NºAsuntos!I17/NºAsuntos!G17),NºAsuntos!I17/NºAsuntos!G17," - ")</f>
        <v>1.6826923076923077</v>
      </c>
      <c r="D17" s="443">
        <f>IF(ISNUMBER('Resol  Asuntos'!D17/NºAsuntos!G17),'Resol  Asuntos'!D17/NºAsuntos!G17," - ")</f>
        <v>7.2115384615384609E-2</v>
      </c>
      <c r="E17" s="444">
        <f>IF(ISNUMBER((NºAsuntos!C17+NºAsuntos!E17)/NºAsuntos!G17),(NºAsuntos!C17+NºAsuntos!E17)/NºAsuntos!G17," - ")</f>
        <v>2.6826923076923075</v>
      </c>
      <c r="G17" s="462"/>
    </row>
    <row r="18" spans="1:7" ht="14.25" thickTop="1" thickBot="1">
      <c r="A18" s="847" t="str">
        <f>Datos!A18</f>
        <v>TOTAL</v>
      </c>
      <c r="B18" s="857">
        <f>IF(ISNUMBER(NºAsuntos!G18/NºAsuntos!E18),NºAsuntos!G18/NºAsuntos!E18," - ")</f>
        <v>0.91502782931354365</v>
      </c>
      <c r="C18" s="858">
        <f>IF(ISNUMBER(NºAsuntos!I18/NºAsuntos!G18),NºAsuntos!I18/NºAsuntos!G18," - ")</f>
        <v>1.5912408759124088</v>
      </c>
      <c r="D18" s="861">
        <f>IF(ISNUMBER('Resol  Asuntos'!D18/NºAsuntos!G18),'Resol  Asuntos'!D18/NºAsuntos!G18," - ")</f>
        <v>0.14030819140308193</v>
      </c>
      <c r="E18" s="860">
        <f>IF(ISNUMBER((NºAsuntos!C18+NºAsuntos!E18)/NºAsuntos!G18),(NºAsuntos!C18+NºAsuntos!E18)/NºAsuntos!G18," - ")</f>
        <v>2.5774533657745335</v>
      </c>
      <c r="G18" s="462"/>
    </row>
    <row r="19" spans="1:7" ht="15.75" customHeight="1" thickTop="1" thickBot="1">
      <c r="A19" s="792" t="str">
        <f>Datos!A19</f>
        <v>TOTAL JURISDICCIONES</v>
      </c>
      <c r="B19" s="807">
        <f>IF(ISNUMBER(NºAsuntos!G19/NºAsuntos!E19),NºAsuntos!G19/NºAsuntos!E19," - ")</f>
        <v>1.1204301075268817</v>
      </c>
      <c r="C19" s="808">
        <f>IF(ISNUMBER(NºAsuntos!I19/NºAsuntos!G19),NºAsuntos!I19/NºAsuntos!G19," - ")</f>
        <v>2.6568138195777351</v>
      </c>
      <c r="D19" s="809">
        <f>IF(ISNUMBER('Resol  Asuntos'!D19/NºAsuntos!G19),'Resol  Asuntos'!D19/NºAsuntos!G19," - ")</f>
        <v>0.20153550863723607</v>
      </c>
      <c r="E19" s="810">
        <f>IF(ISNUMBER((NºAsuntos!C19+NºAsuntos!E19)/NºAsuntos!G19),(NºAsuntos!C19+NºAsuntos!E19)/NºAsuntos!G19," - ")</f>
        <v>3.6502879078694819</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09 dic. 2025</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q0GH90QDsskSmB7bv1GpmZe2amCLxDxunO1eDw01F+bEgDa1fD1CflmoCjtBTDbM02kx3ApJeRdtShRzG3uj9A==" saltValue="8Exxv+0vkvCCvjqnUkbEx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CASTILLA-LA MANCHA</v>
      </c>
      <c r="G2" s="262"/>
      <c r="H2" s="261"/>
      <c r="I2" s="261"/>
      <c r="J2" s="261"/>
      <c r="K2" s="261"/>
      <c r="L2" s="261" t="str">
        <f>Criterios!A10 &amp;"  "&amp;Criterios!B10</f>
        <v>Provincias  ALBACETE</v>
      </c>
      <c r="N2" s="261" t="str">
        <f>Criterios!A11 &amp;"  "&amp;Criterios!B11</f>
        <v>Resumenes por Partidos Judiciales  ALBACETE</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3 al 3</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6</v>
      </c>
      <c r="B9" s="176" t="s">
        <v>246</v>
      </c>
      <c r="C9" s="159" t="str">
        <f>Datos!A9</f>
        <v xml:space="preserve">Jdos. 1ª Instancia   </v>
      </c>
      <c r="D9" s="159"/>
      <c r="E9" s="1024">
        <f>IF(ISNUMBER(Datos!AQ9),Datos!AQ9," - ")</f>
        <v>6</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874</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f>IF(ISNUMBER(Datos!Q9),Datos!Q9," - ")</f>
        <v>413</v>
      </c>
      <c r="Y9" s="333">
        <f>SUM(W9:X9)</f>
        <v>413</v>
      </c>
      <c r="Z9" s="334" t="str">
        <f>IF(ISNUMBER(Datos!CC9),Datos!CC9," - ")</f>
        <v xml:space="preserve"> - </v>
      </c>
      <c r="AA9" s="331" t="str">
        <f>IF(ISNUMBER(IF(J_V="SI",Datos!L9,Datos!L9+Datos!AB9)-IF(Monitorios="SI",Datos!CD9,0)),
                          IF(J_V="SI",Datos!L9,Datos!L9+Datos!AB9)-IF(Monitorios="SI",Datos!CD9,0),
                          " - ")</f>
        <v xml:space="preserve"> - </v>
      </c>
      <c r="AB9" s="333">
        <f>IF(ISNUMBER(Datos!R9),Datos!R9," - ")</f>
        <v>10782</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f>IF(ISNUMBER(Datos!M9),Datos!M9," - ")</f>
        <v>609</v>
      </c>
      <c r="AJ9" s="228" t="str">
        <f>IF(ISNUMBER(Datos!BW9),Datos!BW9," - ")</f>
        <v xml:space="preserve"> - </v>
      </c>
      <c r="AK9" s="227" t="str">
        <f>IF(ISNUMBER(Datos!BX9),Datos!BX9," - ")</f>
        <v xml:space="preserve"> - </v>
      </c>
      <c r="AL9" s="242">
        <f>IF(ISNUMBER(NºAsuntos!G9/NºAsuntos!E9),NºAsuntos!G9/NºAsuntos!E9," - ")</f>
        <v>1.5591397849462365</v>
      </c>
      <c r="AM9" s="259">
        <f>IF(ISNUMBER(((NºAsuntos!I9/NºAsuntos!G9)*11)/factor_trimestre),((NºAsuntos!I9/NºAsuntos!G9)*11)/factor_trimestre," - ")</f>
        <v>7.9146551724137932</v>
      </c>
      <c r="AN9" s="243">
        <f>IF(ISNUMBER('Resol  Asuntos'!D9/NºAsuntos!G9),'Resol  Asuntos'!D9/NºAsuntos!G9," - ")</f>
        <v>0.26250000000000001</v>
      </c>
      <c r="AO9" s="244">
        <f>IF(ISNUMBER((NºAsuntos!C9+NºAsuntos!E9)/NºAsuntos!G9),(NºAsuntos!C9+NºAsuntos!E9)/NºAsuntos!G9," - ")</f>
        <v>4.9573275862068966</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1</v>
      </c>
      <c r="F10" s="224">
        <f>IF(ISNUMBER(Datos!L10+Datos!K10-Datos!J10-K10),Datos!L10+Datos!K10-Datos!J10-K10," - ")</f>
        <v>67</v>
      </c>
      <c r="G10" s="332">
        <f>IF(ISNUMBER(Datos!I10),Datos!I10," - ")</f>
        <v>67</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4</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22</v>
      </c>
      <c r="X10" s="225">
        <f>IF(ISNUMBER(Datos!Q10),Datos!Q10," - ")</f>
        <v>22</v>
      </c>
      <c r="Y10" s="333">
        <f t="shared" ref="Y10:Y12" si="0">SUM(W10:X10)</f>
        <v>44</v>
      </c>
      <c r="Z10" s="334" t="str">
        <f>IF(ISNUMBER(Datos!CC10),Datos!CC10," - ")</f>
        <v xml:space="preserve"> - </v>
      </c>
      <c r="AA10" s="331">
        <f>IF(ISNUMBER(Datos!L10),Datos!L10,"-")</f>
        <v>66</v>
      </c>
      <c r="AB10" s="333">
        <f>IF(ISNUMBER(Datos!R10),Datos!R10," - ")</f>
        <v>45</v>
      </c>
      <c r="AC10" s="333">
        <f t="shared" ref="AC10:AC12" si="1">IF(ISNUMBER(AA10+AB10),AA10+AB10," - ")</f>
        <v>111</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9</v>
      </c>
      <c r="AJ10" s="230" t="str">
        <f>IF(ISNUMBER(Datos!BW10),Datos!BW10," - ")</f>
        <v xml:space="preserve"> - </v>
      </c>
      <c r="AK10" s="231" t="str">
        <f>IF(ISNUMBER(Datos!BX10),Datos!BX10," - ")</f>
        <v xml:space="preserve"> - </v>
      </c>
      <c r="AL10" s="242">
        <f>IF(ISNUMBER(NºAsuntos!G10/NºAsuntos!E10),NºAsuntos!G10/NºAsuntos!E10," - ")</f>
        <v>1.0476190476190477</v>
      </c>
      <c r="AM10" s="259">
        <f>IF(ISNUMBER(((NºAsuntos!I10/NºAsuntos!G10)*11)/factor_trimestre),((NºAsuntos!I10/NºAsuntos!G10)*11)/factor_trimestre," - ")</f>
        <v>6</v>
      </c>
      <c r="AN10" s="243">
        <f>IF(ISNUMBER('Resol  Asuntos'!D10/NºAsuntos!G10),'Resol  Asuntos'!D10/NºAsuntos!G10," - ")</f>
        <v>0.40909090909090912</v>
      </c>
      <c r="AO10" s="244">
        <f>IF(ISNUMBER((NºAsuntos!C10+NºAsuntos!E10)/NºAsuntos!G10),(NºAsuntos!C10+NºAsuntos!E10)/NºAsuntos!G10," - ")</f>
        <v>4</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2</v>
      </c>
      <c r="B11" s="274" t="s">
        <v>246</v>
      </c>
      <c r="C11" s="7" t="str">
        <f>Datos!A11</f>
        <v xml:space="preserve">Jdos. Familia                                   </v>
      </c>
      <c r="D11" s="7"/>
      <c r="E11" s="1024">
        <f>IF(ISNUMBER(Datos!AQ11),Datos!AQ11," - ")</f>
        <v>2</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26</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f>IF(ISNUMBER(Datos!Q11),Datos!Q11," - ")</f>
        <v>26</v>
      </c>
      <c r="Y11" s="333">
        <f t="shared" si="0"/>
        <v>26</v>
      </c>
      <c r="Z11" s="334" t="str">
        <f>IF(ISNUMBER(Datos!CC11),Datos!CC11," - ")</f>
        <v xml:space="preserve"> - </v>
      </c>
      <c r="AA11" s="331" t="str">
        <f>IF(ISNUMBER(IF(J_V="SI",Datos!L11,Datos!L11+Datos!AB11)-IF(Monitorios="SI",Datos!CD11,0)),
                          IF(J_V="SI",Datos!L11,Datos!L11+Datos!AB11)-IF(Monitorios="SI",Datos!CD11,0),
                          " - ")</f>
        <v xml:space="preserve"> - </v>
      </c>
      <c r="AB11" s="333">
        <f>IF(ISNUMBER(Datos!R11),Datos!R11," - ")</f>
        <v>608</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f>IF(ISNUMBER(Datos!M11),Datos!M11," - ")</f>
        <v>86</v>
      </c>
      <c r="AJ11" s="230" t="str">
        <f>IF(ISNUMBER(Datos!BW11),Datos!BW11," - ")</f>
        <v xml:space="preserve"> - </v>
      </c>
      <c r="AK11" s="231" t="str">
        <f>IF(ISNUMBER(Datos!BX11),Datos!BX11," - ")</f>
        <v xml:space="preserve"> - </v>
      </c>
      <c r="AL11" s="242">
        <f>IF(ISNUMBER(NºAsuntos!G11/NºAsuntos!E11),NºAsuntos!G11/NºAsuntos!E11," - ")</f>
        <v>0.90134529147982068</v>
      </c>
      <c r="AM11" s="259">
        <f>IF(ISNUMBER(((NºAsuntos!I11/NºAsuntos!G11)*11)/factor_trimestre),((NºAsuntos!I11/NºAsuntos!G11)*11)/factor_trimestre," - ")</f>
        <v>3.3383084577114421</v>
      </c>
      <c r="AN11" s="243">
        <f>IF(ISNUMBER('Resol  Asuntos'!D11/NºAsuntos!G11),'Resol  Asuntos'!D11/NºAsuntos!G11," - ")</f>
        <v>0.21393034825870647</v>
      </c>
      <c r="AO11" s="244">
        <f>IF(ISNUMBER((NºAsuntos!C11+NºAsuntos!E11)/NºAsuntos!G11),(NºAsuntos!C11+NºAsuntos!E11)/NºAsuntos!G11," - ")</f>
        <v>2.6691542288557213</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0</v>
      </c>
      <c r="B12" s="274" t="s">
        <v>246</v>
      </c>
      <c r="C12" s="7" t="str">
        <f>Datos!A12</f>
        <v xml:space="preserve">Jdos. 1ª Instª. e Instr./Secc. Civil y de Inst. TI                      </v>
      </c>
      <c r="D12" s="7"/>
      <c r="E12" s="1024">
        <f>IF(ISNUMBER(Datos!AQ12),Datos!AQ12," - ")</f>
        <v>0</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0</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t="str">
        <f>IF(ISNUMBER(Datos!Q12),Datos!Q12," - ")</f>
        <v xml:space="preserve"> - </v>
      </c>
      <c r="Y12" s="333">
        <f t="shared" si="0"/>
        <v>0</v>
      </c>
      <c r="Z12" s="334" t="str">
        <f>IF(ISNUMBER(Datos!CC12),Datos!CC12," - ")</f>
        <v xml:space="preserve"> - </v>
      </c>
      <c r="AA12" s="331" t="str">
        <f>IF(ISNUMBER(IF(J_V="SI",Datos!L12,Datos!L12+Datos!AB12)-IF(Monitorios="SI",Datos!CD12,0)),
                          IF(J_V="SI",Datos!L12,Datos!L12+Datos!AB12)-IF(Monitorios="SI",Datos!CD12,0),
                          " - ")</f>
        <v xml:space="preserve"> - </v>
      </c>
      <c r="AB12" s="333" t="str">
        <f>IF(ISNUMBER(Datos!R12),Datos!R12," - ")</f>
        <v xml:space="preserve"> - </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t="str">
        <f>IF(ISNUMBER(Datos!M12),Datos!M12," - ")</f>
        <v xml:space="preserve"> - </v>
      </c>
      <c r="AJ12" s="228" t="str">
        <f>IF(ISNUMBER(Datos!BW12),Datos!BW12," - ")</f>
        <v xml:space="preserve"> - </v>
      </c>
      <c r="AK12" s="227" t="str">
        <f>IF(ISNUMBER(Datos!BX12),Datos!BX12," - ")</f>
        <v xml:space="preserve"> - </v>
      </c>
      <c r="AL12" s="242" t="str">
        <f>IF(ISNUMBER(NºAsuntos!G12/NºAsuntos!E12),NºAsuntos!G12/NºAsuntos!E12," - ")</f>
        <v xml:space="preserve"> - </v>
      </c>
      <c r="AM12" s="259" t="str">
        <f>IF(ISNUMBER(((NºAsuntos!I12/NºAsuntos!G12)*11)/factor_trimestre),((NºAsuntos!I12/NºAsuntos!G12)*11)/factor_trimestre," - ")</f>
        <v xml:space="preserve"> - </v>
      </c>
      <c r="AN12" s="243" t="str">
        <f>IF(ISNUMBER('Resol  Asuntos'!D12/NºAsuntos!G12),'Resol  Asuntos'!D12/NºAsuntos!G12," - ")</f>
        <v xml:space="preserve"> - </v>
      </c>
      <c r="AO12" s="244" t="str">
        <f>IF(ISNUMBER((NºAsuntos!C12+NºAsuntos!E12)/NºAsuntos!G12),(NºAsuntos!C12+NºAsuntos!E12)/NºAsuntos!G12," - ")</f>
        <v xml:space="preserve"> - </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9</v>
      </c>
      <c r="F13" s="864">
        <f t="shared" si="3"/>
        <v>67</v>
      </c>
      <c r="G13" s="865">
        <f t="shared" si="3"/>
        <v>67</v>
      </c>
      <c r="H13" s="864">
        <f t="shared" si="3"/>
        <v>0</v>
      </c>
      <c r="I13" s="866">
        <f t="shared" si="3"/>
        <v>0</v>
      </c>
      <c r="J13" s="866">
        <f t="shared" si="3"/>
        <v>0</v>
      </c>
      <c r="K13" s="866">
        <f t="shared" si="3"/>
        <v>0</v>
      </c>
      <c r="L13" s="866">
        <f t="shared" si="3"/>
        <v>904</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22</v>
      </c>
      <c r="X13" s="866">
        <f t="shared" si="4"/>
        <v>461</v>
      </c>
      <c r="Y13" s="867">
        <f t="shared" si="4"/>
        <v>483</v>
      </c>
      <c r="Z13" s="867">
        <f t="shared" si="4"/>
        <v>0</v>
      </c>
      <c r="AA13" s="867">
        <f t="shared" si="4"/>
        <v>66</v>
      </c>
      <c r="AB13" s="867">
        <f t="shared" si="4"/>
        <v>11435</v>
      </c>
      <c r="AC13" s="867">
        <f t="shared" si="4"/>
        <v>111</v>
      </c>
      <c r="AD13" s="867">
        <f t="shared" si="4"/>
        <v>0</v>
      </c>
      <c r="AE13" s="871">
        <f t="shared" si="4"/>
        <v>0</v>
      </c>
      <c r="AF13" s="864">
        <f t="shared" si="4"/>
        <v>0</v>
      </c>
      <c r="AG13" s="872">
        <f t="shared" si="4"/>
        <v>0</v>
      </c>
      <c r="AH13" s="869">
        <f t="shared" si="4"/>
        <v>0</v>
      </c>
      <c r="AI13" s="864">
        <f t="shared" si="4"/>
        <v>704</v>
      </c>
      <c r="AJ13" s="866">
        <f t="shared" si="4"/>
        <v>0</v>
      </c>
      <c r="AK13" s="869">
        <f>SUBTOTAL(9,AK9:AK12)</f>
        <v>0</v>
      </c>
      <c r="AL13" s="873">
        <f>IF(ISNUMBER(NºAsuntos!G13/NºAsuntos!E13),NºAsuntos!G13/NºAsuntos!E13," - ")</f>
        <v>1.4035805626598465</v>
      </c>
      <c r="AM13" s="873">
        <f>IF(ISNUMBER(((NºAsuntos!I13/NºAsuntos!G13)*11)/factor_trimestre),((NºAsuntos!I13/NºAsuntos!G13)*11)/factor_trimestre," - ")</f>
        <v>7.2288629737609336</v>
      </c>
      <c r="AN13" s="874">
        <f>IF(ISNUMBER('Resol  Asuntos'!D13/NºAsuntos!G13),'Resol  Asuntos'!D13/NºAsuntos!G13," - ")</f>
        <v>0.2565597667638484</v>
      </c>
      <c r="AO13" s="875">
        <f>IF(ISNUMBER((NºAsuntos!C13+NºAsuntos!E13)/NºAsuntos!G13),(NºAsuntos!C13+NºAsuntos!E13)/NºAsuntos!G13," - ")</f>
        <v>4.6144314868804663</v>
      </c>
      <c r="AP13" s="876" t="str">
        <f t="shared" si="2"/>
        <v xml:space="preserve"> - </v>
      </c>
      <c r="AQ13" s="876">
        <f>IF(ISNUMBER((H13-W13+K13)/(F13)),(H13-W13+K13)/(F13)," - ")</f>
        <v>-0.32835820895522388</v>
      </c>
      <c r="AR13" s="877">
        <f>IF(ISNUMBER((Datos!P13-Datos!Q13)/(Datos!R13-Datos!P13+Datos!Q13)),(Datos!P13-Datos!Q13)/(Datos!R13-Datos!P13+Datos!Q13)," - ")</f>
        <v>4.0302037845705969E-2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3</v>
      </c>
      <c r="B15" s="274" t="s">
        <v>396</v>
      </c>
      <c r="C15" s="159" t="str">
        <f>Datos!A15</f>
        <v xml:space="preserve">Jdos. Instrucción                               </v>
      </c>
      <c r="D15" s="159"/>
      <c r="E15" s="1024">
        <f>IF(ISNUMBER(Datos!AQ15),Datos!AQ15," - ")</f>
        <v>3</v>
      </c>
      <c r="F15" s="224">
        <f>IF(ISNUMBER(AA15+W15-Datos!J15-K15),AA15+W15-Datos!J15-K15," - ")</f>
        <v>3392</v>
      </c>
      <c r="G15" s="332">
        <f>IF(ISNUMBER(IF(D_I="SI",Datos!I15,Datos!I15+Datos!AC15)),IF(D_I="SI",Datos!I15,Datos!I15+Datos!AC15)," - ")</f>
        <v>3358</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154</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f>IF(ISNUMBER(IF(D_I="SI",Datos!K15,Datos!K15+Datos!AE15)),IF(D_I="SI",Datos!K15,Datos!K15+Datos!AE15)," - ")</f>
        <v>2258</v>
      </c>
      <c r="X15" s="225">
        <f>IF(ISNUMBER(Datos!Q15),Datos!Q15," - ")</f>
        <v>218</v>
      </c>
      <c r="Y15" s="333">
        <f>SUM(W15)</f>
        <v>2258</v>
      </c>
      <c r="Z15" s="334" t="str">
        <f>IF(ISNUMBER(Datos!CC15),Datos!CC15," - ")</f>
        <v xml:space="preserve"> - </v>
      </c>
      <c r="AA15" s="331">
        <f>IF(ISNUMBER(IF(D_I="SI",Datos!L15,Datos!L15+Datos!AF15)),IF(D_I="SI",Datos!L15,Datos!L15+Datos!AF15)," - ")</f>
        <v>3574</v>
      </c>
      <c r="AB15" s="333">
        <f>IF(ISNUMBER(Datos!R15),Datos!R15," - ")</f>
        <v>938</v>
      </c>
      <c r="AC15" s="333">
        <f t="shared" ref="AC15:AC17" si="6">IF(ISNUMBER(AA15+AB15),AA15+AB15," - ")</f>
        <v>4512</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f>IF(ISNUMBER(Datos!M15),Datos!M15," - ")</f>
        <v>331</v>
      </c>
      <c r="AJ15" s="230" t="str">
        <f>IF(ISNUMBER(Datos!BW15),Datos!BW15," - ")</f>
        <v xml:space="preserve"> - </v>
      </c>
      <c r="AK15" s="231" t="str">
        <f>IF(ISNUMBER(Datos!BX15),Datos!BX15," - ")</f>
        <v xml:space="preserve"> - </v>
      </c>
      <c r="AL15" s="242">
        <f>IF(ISNUMBER(NºAsuntos!G15/NºAsuntos!E15),NºAsuntos!G15/NºAsuntos!E15," - ")</f>
        <v>0.92540983606557381</v>
      </c>
      <c r="AM15" s="259">
        <f>IF(ISNUMBER(((NºAsuntos!I15/NºAsuntos!G15)*11)/factor_trimestre),((NºAsuntos!I15/NºAsuntos!G15)*11)/factor_trimestre," - ")</f>
        <v>3.1656333038086801</v>
      </c>
      <c r="AN15" s="243">
        <f>IF(ISNUMBER('Resol  Asuntos'!D15/NºAsuntos!G15),'Resol  Asuntos'!D15/NºAsuntos!G15," - ")</f>
        <v>0.14658990256864482</v>
      </c>
      <c r="AO15" s="244">
        <f>IF(ISNUMBER((NºAsuntos!C15+NºAsuntos!E15)/NºAsuntos!G15),(NºAsuntos!C15+NºAsuntos!E15)/NºAsuntos!G15," - ")</f>
        <v>2.5677590788308238</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0</v>
      </c>
      <c r="B16" s="274" t="s">
        <v>396</v>
      </c>
      <c r="C16" s="159" t="str">
        <f>Datos!A16</f>
        <v xml:space="preserve">Jdos. 1ª Instª. e Instr./Secc. Civil y de Inst. TI                      </v>
      </c>
      <c r="D16" s="159"/>
      <c r="E16" s="1024">
        <f>IF(ISNUMBER(Datos!AQ16),Datos!AQ16," - ")</f>
        <v>0</v>
      </c>
      <c r="F16" s="224" t="str">
        <f>IF(ISNUMBER(AA16+W16-Datos!J16-K16),AA16+W16-Datos!J16-K16," - ")</f>
        <v xml:space="preserve"> - </v>
      </c>
      <c r="G16" s="332" t="str">
        <f>IF(ISNUMBER(IF(D_I="SI",Datos!I16,Datos!I16+Datos!AC16)),IF(D_I="SI",Datos!I16,Datos!I16+Datos!AC16)," - ")</f>
        <v xml:space="preserve"> - </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0</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t="str">
        <f>IF(ISNUMBER(IF(D_I="SI",Datos!K16,Datos!K16+Datos!AE16)),IF(D_I="SI",Datos!K16,Datos!K16+Datos!AE16)," - ")</f>
        <v xml:space="preserve"> - </v>
      </c>
      <c r="X16" s="225" t="str">
        <f>IF(ISNUMBER(Datos!Q16),Datos!Q16," - ")</f>
        <v xml:space="preserve"> - </v>
      </c>
      <c r="Y16" s="333">
        <f t="shared" ref="Y16:Y17" si="7">SUM(W16:X16)</f>
        <v>0</v>
      </c>
      <c r="Z16" s="334" t="str">
        <f>IF(ISNUMBER(Datos!CC16),Datos!CC16," - ")</f>
        <v xml:space="preserve"> - </v>
      </c>
      <c r="AA16" s="331" t="str">
        <f>IF(ISNUMBER(IF(D_I="SI",Datos!L16,Datos!L16+Datos!AF16)),IF(D_I="SI",Datos!L16,Datos!L16+Datos!AF16)," - ")</f>
        <v xml:space="preserve"> - </v>
      </c>
      <c r="AB16" s="333" t="str">
        <f>IF(ISNUMBER(Datos!R16),Datos!R16," - ")</f>
        <v xml:space="preserve"> - </v>
      </c>
      <c r="AC16" s="333" t="str">
        <f t="shared" si="6"/>
        <v xml:space="preserve"> - </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t="str">
        <f>IF(ISNUMBER(Datos!M16),Datos!M16," - ")</f>
        <v xml:space="preserve"> - </v>
      </c>
      <c r="AJ16" s="230" t="str">
        <f>IF(ISNUMBER(Datos!BW16),Datos!BW16," - ")</f>
        <v xml:space="preserve"> - </v>
      </c>
      <c r="AK16" s="231" t="str">
        <f>IF(ISNUMBER(Datos!BX16),Datos!BX16," - ")</f>
        <v xml:space="preserve"> - </v>
      </c>
      <c r="AL16" s="242" t="str">
        <f>IF(ISNUMBER(NºAsuntos!G16/NºAsuntos!E16),NºAsuntos!G16/NºAsuntos!E16," - ")</f>
        <v xml:space="preserve"> - </v>
      </c>
      <c r="AM16" s="259"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1</v>
      </c>
      <c r="F17" s="224" t="str">
        <f>IF(ISNUMBER(AA17+W17-H17-K17),AA17+W17-H17-K17," - ")</f>
        <v xml:space="preserve"> - </v>
      </c>
      <c r="G17" s="332">
        <f>IF(ISNUMBER(IF(D_I="SI",Datos!I17,Datos!I17+Datos!AC17)),IF(D_I="SI",Datos!I17,Datos!I17+Datos!AC17)," - ")</f>
        <v>303</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208</v>
      </c>
      <c r="X17" s="225">
        <f>IF(ISNUMBER(Datos!Q17),Datos!Q17," - ")</f>
        <v>0</v>
      </c>
      <c r="Y17" s="333">
        <f t="shared" si="7"/>
        <v>208</v>
      </c>
      <c r="Z17" s="334" t="str">
        <f>IF(ISNUMBER(Datos!CC17),Datos!CC17," - ")</f>
        <v xml:space="preserve"> - </v>
      </c>
      <c r="AA17" s="331">
        <f>IF(ISNUMBER(Datos!L17),Datos!L17,"-")</f>
        <v>350</v>
      </c>
      <c r="AB17" s="333">
        <f>IF(ISNUMBER(Datos!R17),Datos!R17," - ")</f>
        <v>5</v>
      </c>
      <c r="AC17" s="333">
        <f t="shared" si="6"/>
        <v>355</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15</v>
      </c>
      <c r="AJ17" s="230" t="str">
        <f>IF(ISNUMBER(Datos!BW17),Datos!BW17," - ")</f>
        <v xml:space="preserve"> - </v>
      </c>
      <c r="AK17" s="231" t="str">
        <f>IF(ISNUMBER(Datos!BX17),Datos!BX17," - ")</f>
        <v xml:space="preserve"> - </v>
      </c>
      <c r="AL17" s="242">
        <f>IF(ISNUMBER(NºAsuntos!G17/NºAsuntos!E17),NºAsuntos!G17/NºAsuntos!E17," - ")</f>
        <v>0.81568627450980391</v>
      </c>
      <c r="AM17" s="259">
        <f>IF(ISNUMBER(((NºAsuntos!I17/NºAsuntos!G17)*11)/factor_trimestre),((NºAsuntos!I17/NºAsuntos!G17)*11)/factor_trimestre," - ")</f>
        <v>3.365384615384615</v>
      </c>
      <c r="AN17" s="243">
        <f>IF(ISNUMBER('Resol  Asuntos'!D17/NºAsuntos!G17),'Resol  Asuntos'!D17/NºAsuntos!G17," - ")</f>
        <v>7.2115384615384609E-2</v>
      </c>
      <c r="AO17" s="244">
        <f>IF(ISNUMBER((NºAsuntos!C17+NºAsuntos!E17)/NºAsuntos!G17),(NºAsuntos!C17+NºAsuntos!E17)/NºAsuntos!G17," - ")</f>
        <v>2.6826923076923075</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4</v>
      </c>
      <c r="F18" s="864">
        <f>SUBTOTAL(9,F14:F17)</f>
        <v>3392</v>
      </c>
      <c r="G18" s="865">
        <f>SUBTOTAL(9,G15:G17)</f>
        <v>3661</v>
      </c>
      <c r="H18" s="864">
        <f t="shared" ref="H18:O18" si="10">SUBTOTAL(9,H14:H17)</f>
        <v>0</v>
      </c>
      <c r="I18" s="866">
        <f t="shared" si="10"/>
        <v>0</v>
      </c>
      <c r="J18" s="866">
        <f t="shared" si="10"/>
        <v>0</v>
      </c>
      <c r="K18" s="866">
        <f t="shared" si="10"/>
        <v>0</v>
      </c>
      <c r="L18" s="866">
        <f t="shared" si="10"/>
        <v>154</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2466</v>
      </c>
      <c r="X18" s="866">
        <f t="shared" si="11"/>
        <v>218</v>
      </c>
      <c r="Y18" s="867">
        <f t="shared" si="11"/>
        <v>2466</v>
      </c>
      <c r="Z18" s="867">
        <f t="shared" si="11"/>
        <v>0</v>
      </c>
      <c r="AA18" s="867">
        <f t="shared" si="11"/>
        <v>3924</v>
      </c>
      <c r="AB18" s="867">
        <f t="shared" si="11"/>
        <v>943</v>
      </c>
      <c r="AC18" s="867">
        <f t="shared" si="11"/>
        <v>4867</v>
      </c>
      <c r="AD18" s="867">
        <f t="shared" si="11"/>
        <v>0</v>
      </c>
      <c r="AE18" s="871">
        <f t="shared" si="11"/>
        <v>0</v>
      </c>
      <c r="AF18" s="864">
        <f t="shared" si="11"/>
        <v>0</v>
      </c>
      <c r="AG18" s="872">
        <f t="shared" si="11"/>
        <v>0</v>
      </c>
      <c r="AH18" s="869">
        <f t="shared" si="11"/>
        <v>0</v>
      </c>
      <c r="AI18" s="864">
        <f t="shared" si="11"/>
        <v>346</v>
      </c>
      <c r="AJ18" s="866">
        <f t="shared" si="11"/>
        <v>0</v>
      </c>
      <c r="AK18" s="869">
        <f t="shared" si="11"/>
        <v>0</v>
      </c>
      <c r="AL18" s="873">
        <f>IF(ISNUMBER(NºAsuntos!G18/NºAsuntos!E18),NºAsuntos!G18/NºAsuntos!E18," - ")</f>
        <v>0.91502782931354365</v>
      </c>
      <c r="AM18" s="873">
        <f>IF(ISNUMBER(((NºAsuntos!I18/NºAsuntos!G18)*11)/factor_trimestre),((NºAsuntos!I18/NºAsuntos!G18)*11)/factor_trimestre," - ")</f>
        <v>3.1824817518248172</v>
      </c>
      <c r="AN18" s="874">
        <f>IF(ISNUMBER('Resol  Asuntos'!D18/NºAsuntos!G18),'Resol  Asuntos'!D18/NºAsuntos!G18," - ")</f>
        <v>0.14030819140308193</v>
      </c>
      <c r="AO18" s="875">
        <f>IF(ISNUMBER((NºAsuntos!C18+NºAsuntos!E18)/NºAsuntos!G18),(NºAsuntos!C18+NºAsuntos!E18)/NºAsuntos!G18," - ")</f>
        <v>2.5774533657745335</v>
      </c>
      <c r="AP18" s="876" t="str">
        <f t="shared" si="2"/>
        <v xml:space="preserve"> - </v>
      </c>
      <c r="AQ18" s="876">
        <f>IF(ISNUMBER((H18-W18+K18)/(F18)),(H18-W18+K18)/(F18)," - ")</f>
        <v>-0.72700471698113212</v>
      </c>
      <c r="AR18" s="877">
        <f>IF(ISNUMBER((Datos!P18-Datos!Q18)/(Datos!R18-Datos!P18+Datos!Q18)),(Datos!P18-Datos!Q18)/(Datos!R18-Datos!P18+Datos!Q18)," - ")</f>
        <v>-6.3555114200595828E-2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13</v>
      </c>
      <c r="F19" s="819">
        <f t="shared" si="13"/>
        <v>3459</v>
      </c>
      <c r="G19" s="820">
        <f t="shared" si="13"/>
        <v>3728</v>
      </c>
      <c r="H19" s="819">
        <f t="shared" si="13"/>
        <v>0</v>
      </c>
      <c r="I19" s="821">
        <f t="shared" si="13"/>
        <v>0</v>
      </c>
      <c r="J19" s="821">
        <f t="shared" si="13"/>
        <v>0</v>
      </c>
      <c r="K19" s="880">
        <f t="shared" si="13"/>
        <v>0</v>
      </c>
      <c r="L19" s="821">
        <f t="shared" si="13"/>
        <v>1058</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2488</v>
      </c>
      <c r="X19" s="820">
        <f t="shared" si="14"/>
        <v>679</v>
      </c>
      <c r="Y19" s="827">
        <f t="shared" si="14"/>
        <v>2949</v>
      </c>
      <c r="Z19" s="827">
        <f t="shared" si="14"/>
        <v>0</v>
      </c>
      <c r="AA19" s="827">
        <f t="shared" si="14"/>
        <v>3990</v>
      </c>
      <c r="AB19" s="827">
        <f t="shared" si="14"/>
        <v>12378</v>
      </c>
      <c r="AC19" s="827">
        <f t="shared" si="14"/>
        <v>4978</v>
      </c>
      <c r="AD19" s="827">
        <f t="shared" si="14"/>
        <v>0</v>
      </c>
      <c r="AE19" s="829">
        <f t="shared" si="14"/>
        <v>0</v>
      </c>
      <c r="AF19" s="830">
        <f t="shared" si="14"/>
        <v>0</v>
      </c>
      <c r="AG19" s="831">
        <f t="shared" si="14"/>
        <v>0</v>
      </c>
      <c r="AH19" s="829">
        <f t="shared" si="14"/>
        <v>0</v>
      </c>
      <c r="AI19" s="819">
        <f t="shared" si="14"/>
        <v>1050</v>
      </c>
      <c r="AJ19" s="819">
        <f t="shared" si="14"/>
        <v>0</v>
      </c>
      <c r="AK19" s="829">
        <f t="shared" si="14"/>
        <v>0</v>
      </c>
      <c r="AL19" s="883">
        <f>IF(ISNUMBER(NºAsuntos!G19/NºAsuntos!E19),NºAsuntos!G19/NºAsuntos!E19," - ")</f>
        <v>1.1204301075268817</v>
      </c>
      <c r="AM19" s="884">
        <f>IF(ISNUMBER(((NºAsuntos!I19/NºAsuntos!G19)*11)/factor_trimestre),((NºAsuntos!I19/NºAsuntos!G19)*11)/factor_trimestre," - ")</f>
        <v>5.3136276391554702</v>
      </c>
      <c r="AN19" s="884">
        <f>IF(ISNUMBER('Resol  Asuntos'!D19/NºAsuntos!G19),'Resol  Asuntos'!D19/NºAsuntos!G19," - ")</f>
        <v>0.20153550863723607</v>
      </c>
      <c r="AO19" s="885">
        <f>IF(ISNUMBER((NºAsuntos!C19+NºAsuntos!E19)/NºAsuntos!G19),(NºAsuntos!C19+NºAsuntos!E19)/NºAsuntos!G19," - ")</f>
        <v>3.6502879078694819</v>
      </c>
      <c r="AP19" s="886" t="str">
        <f t="shared" si="2"/>
        <v xml:space="preserve"> - </v>
      </c>
      <c r="AQ19" s="887">
        <f>IF(OR(ISNUMBER(FIND("01",Criterios!A8,1)),ISNUMBER(FIND("02",Criterios!A8,1)),ISNUMBER(FIND("03",Criterios!A8,1)),ISNUMBER(FIND("04",Criterios!A8,1))),(I19-W19+K19)/(F19-K19),(H19-W19+K19)/(F19-K19))</f>
        <v>-0.71928302977739234</v>
      </c>
      <c r="AR19" s="888">
        <f>IF(ISNUMBER((Datos!P19-Datos!Q19)/(Datos!R19-Datos!P19+Datos!Q19)),(Datos!P19-Datos!Q19)/(Datos!R19-Datos!P19+Datos!Q19)," - ")</f>
        <v>3.1585965497124759E-2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1491.2</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3.018461712712472</v>
      </c>
      <c r="F21" s="251">
        <f>IF(ISNUMBER(STDEV(F8:F18)),STDEV(F8:F18),"-")</f>
        <v>1919.6896450555057</v>
      </c>
      <c r="G21" s="252">
        <f>IF(ISNUMBER(STDEV(G8:G18)),STDEV(G8:G18),"-")</f>
        <v>1848.0722929582598</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1252.1817759414964</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280.91398446262275</v>
      </c>
      <c r="AJ21" s="251">
        <f t="shared" si="18"/>
        <v>0</v>
      </c>
      <c r="AK21" s="253">
        <f t="shared" si="18"/>
        <v>0</v>
      </c>
      <c r="AL21" s="248">
        <f t="shared" si="18"/>
        <v>0.2852520276608369</v>
      </c>
      <c r="AM21" s="249">
        <f t="shared" si="18"/>
        <v>2.1004763330326304</v>
      </c>
      <c r="AN21" s="249">
        <f t="shared" si="18"/>
        <v>0.10979414934980379</v>
      </c>
      <c r="AO21" s="250">
        <f t="shared" si="18"/>
        <v>1.0541713588930772</v>
      </c>
      <c r="AP21" s="290" t="str">
        <f t="shared" si="18"/>
        <v>-</v>
      </c>
      <c r="AQ21" s="291">
        <f t="shared" si="18"/>
        <v>0.28188564912145725</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09 dic. 2025</v>
      </c>
      <c r="D30" s="120"/>
    </row>
    <row r="32" spans="1:65">
      <c r="C32" s="1"/>
      <c r="D32" s="1"/>
    </row>
  </sheetData>
  <sheetProtection algorithmName="SHA-512" hashValue="gB5eyx8RMO/xR/nAI3dBiGFHdWf9Fn8WiJXFO6Uh4v7edZcWFd7lPFwgLg3uWY6PYmPlTpR/NZ5jkB+16+Ft8Q==" saltValue="/PCGgHNYCtQeWFuvDVjdU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CASTILLA-LA MANCHA</v>
      </c>
      <c r="E2" s="262"/>
    </row>
    <row r="3" spans="2:20" ht="17.25" customHeight="1">
      <c r="C3" s="266"/>
      <c r="D3" s="261" t="str">
        <f>Criterios!A10 &amp;"  "&amp;Criterios!B10</f>
        <v>Provincias  ALBACETE</v>
      </c>
      <c r="E3" s="262"/>
    </row>
    <row r="4" spans="2:20" ht="17.25" customHeight="1" thickBot="1">
      <c r="D4" s="261" t="str">
        <f>Criterios!A11 &amp;"  "&amp;Criterios!B11</f>
        <v>Resumenes por Partidos Judiciales  ALBACETE</v>
      </c>
      <c r="E4" s="262"/>
    </row>
    <row r="5" spans="2:20" ht="12.75" customHeight="1">
      <c r="B5" s="271"/>
      <c r="C5" s="1287" t="str">
        <f>"Año:  " &amp;Criterios!B5 &amp; "          Trimestre   " &amp;Criterios!D5 &amp; " al " &amp;Criterios!D6</f>
        <v>Año:  2025          Trimestre   3 al 3</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f>IF(ISNUMBER((Datos!M9-Datos!W9)/Datos!W9),(Datos!M9-Datos!W9)/Datos!W9," - ")</f>
        <v>1.3311148086522463E-2</v>
      </c>
      <c r="I9" s="349">
        <f>IF(ISNUMBER((Tasas!C9-Datos!BE9)/Datos!BE9),(Tasas!C9-Datos!BE9)/Datos!BE9," - ")</f>
        <v>-1.2742174510229139E-2</v>
      </c>
      <c r="J9" s="348">
        <f>IF(ISNUMBER((Tasas!D9-Datos!BF9)/Datos!BF9),(Tasas!D9-Datos!BF9)/Datos!BF9," - ")</f>
        <v>-0.27260672703751615</v>
      </c>
      <c r="K9" s="350">
        <f>IF(ISNUMBER((Tasas!E9-Datos!BG9)/Datos!BG9),(Tasas!E9-Datos!BG9)/Datos!BG9," - ")</f>
        <v>-1.0198015505669964E-2</v>
      </c>
      <c r="M9" t="e">
        <f>IF(Monitorios="SI",Datos!CE9,0)</f>
        <v>#REF!</v>
      </c>
      <c r="N9" t="e">
        <f>IF(Monitorios="SI",Datos!CF9,0)</f>
        <v>#REF!</v>
      </c>
      <c r="O9" t="e">
        <f>IF(Monitorios="SI",Datos!CG9,0)</f>
        <v>#REF!</v>
      </c>
      <c r="P9" t="e">
        <f>IF(Monitorios="SI",Datos!CH9,0)</f>
        <v>#REF!</v>
      </c>
      <c r="Q9">
        <f>IF(J_V="SI",0,Datos!AG9)</f>
        <v>137</v>
      </c>
      <c r="R9">
        <f>IF(J_V="SI",0,Datos!AH9)</f>
        <v>55</v>
      </c>
      <c r="S9">
        <f>IF(J_V="SI",0,Datos!AI9)</f>
        <v>48</v>
      </c>
      <c r="T9">
        <f>IF(J_V="SI",0,Datos!AJ9)</f>
        <v>144</v>
      </c>
    </row>
    <row r="10" spans="2:20" ht="14.25">
      <c r="B10" s="274" t="s">
        <v>246</v>
      </c>
      <c r="C10" s="7" t="str">
        <f>Datos!A10</f>
        <v>Jdos. Violencia contra la mujer/Secc Viol. TI.</v>
      </c>
      <c r="D10" s="351">
        <f>IF(ISNUMBER((Datos!I10-Datos!S10)/Datos!S10),(Datos!I10-Datos!S10)/Datos!S10," - ")</f>
        <v>-0.10666666666666667</v>
      </c>
      <c r="E10" s="347">
        <f>IF(ISNUMBER((Datos!J10-Datos!T10)/Datos!T10),(Datos!J10-Datos!T10)/Datos!T10," - ")</f>
        <v>-0.55319148936170215</v>
      </c>
      <c r="F10" s="347">
        <f>IF(ISNUMBER((Datos!K10-Datos!U10)/Datos!U10),(Datos!K10-Datos!U10)/Datos!U10," - ")</f>
        <v>0</v>
      </c>
      <c r="G10" s="348">
        <f>IF(ISNUMBER((Datos!L10-Datos!V10)/Datos!V10),(Datos!L10-Datos!V10)/Datos!V10," - ")</f>
        <v>-0.34</v>
      </c>
      <c r="H10" s="229">
        <f>IF(ISNUMBER((Datos!M10-Datos!W10)/Datos!W10),(Datos!M10-Datos!W10)/Datos!W10," - ")</f>
        <v>1.25</v>
      </c>
      <c r="I10" s="349">
        <f>IF(ISNUMBER((Tasas!C10-Datos!BE10)/Datos!BE10),(Tasas!C10-Datos!BE10)/Datos!BE10," - ")</f>
        <v>-0.34000000000000008</v>
      </c>
      <c r="J10" s="348">
        <f>IF(ISNUMBER((Tasas!D10-Datos!BF10)/Datos!BF10),(Tasas!D10-Datos!BF10)/Datos!BF10," - ")</f>
        <v>1.25</v>
      </c>
      <c r="K10" s="350">
        <f>IF(ISNUMBER((Tasas!E10-Datos!BG10)/Datos!BG10),(Tasas!E10-Datos!BG10)/Datos!BG10," - ")</f>
        <v>-0.27868852459016397</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f>IF(ISNUMBER((Datos!M11-Datos!W11)/Datos!W11),(Datos!M11-Datos!W11)/Datos!W11," - ")</f>
        <v>-5.4945054945054944E-2</v>
      </c>
      <c r="I11" s="349">
        <f>IF(ISNUMBER((Tasas!C11-Datos!BE11)/Datos!BE11),(Tasas!C11-Datos!BE11)/Datos!BE11," - ")</f>
        <v>5.3653606965174017E-2</v>
      </c>
      <c r="J11" s="348">
        <f>IF(ISNUMBER((Tasas!D11-Datos!BF11)/Datos!BF11),(Tasas!D11-Datos!BF11)/Datos!BF11," - ")</f>
        <v>-0.67750798247568123</v>
      </c>
      <c r="K11" s="350">
        <f>IF(ISNUMBER((Tasas!E11-Datos!BG11)/Datos!BG11),(Tasas!E11-Datos!BG11)/Datos!BG11," - ")</f>
        <v>1.5384471240782819E-2</v>
      </c>
      <c r="M11" t="e">
        <f>IF(Monitorios="SI",Datos!CE11,0)</f>
        <v>#REF!</v>
      </c>
      <c r="N11" t="e">
        <f>IF(Monitorios="SI",Datos!CF11,0)</f>
        <v>#REF!</v>
      </c>
      <c r="O11" t="e">
        <f>IF(Monitorios="SI",Datos!CG11,0)</f>
        <v>#REF!</v>
      </c>
      <c r="P11" t="e">
        <f>IF(Monitorios="SI",Datos!CH11,0)</f>
        <v>#REF!</v>
      </c>
      <c r="Q11">
        <f>IF(J_V="SI",0,Datos!AG11)</f>
        <v>58</v>
      </c>
      <c r="R11">
        <f>IF(J_V="SI",0,Datos!AH11)</f>
        <v>192</v>
      </c>
      <c r="S11">
        <f>IF(J_V="SI",0,Datos!AI11)</f>
        <v>179</v>
      </c>
      <c r="T11">
        <f>IF(J_V="SI",0,Datos!AJ11)</f>
        <v>71</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t="str">
        <f>IF(ISNUMBER((Datos!M12-Datos!W12)/Datos!W12),(Datos!M12-Datos!W12)/Datos!W12," - ")</f>
        <v xml:space="preserve"> - </v>
      </c>
      <c r="I12" s="349" t="str">
        <f>IF(ISNUMBER((Tasas!C12-Datos!BE12)/Datos!BE12),(Tasas!C12-Datos!BE12)/Datos!BE12," - ")</f>
        <v xml:space="preserve"> - </v>
      </c>
      <c r="J12" s="348" t="str">
        <f>IF(ISNUMBER((Tasas!D12-Datos!BF12)/Datos!BF12),(Tasas!D12-Datos!BF12)/Datos!BF12," - ")</f>
        <v xml:space="preserve"> - </v>
      </c>
      <c r="K12" s="350"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1.1494252873563218E-2</v>
      </c>
      <c r="I13" s="356">
        <f>IF(ISNUMBER((Tasas!C13-Datos!BE13)/Datos!BE13),(Tasas!C13-Datos!BE13)/Datos!BE13," - ")</f>
        <v>-4.7329982512291421E-3</v>
      </c>
      <c r="J13" s="354">
        <f>IF(ISNUMBER((Tasas!D13-Datos!BF13)/Datos!BF13),(Tasas!D13-Datos!BF13)/Datos!BF13," - ")</f>
        <v>-0.36952585545496391</v>
      </c>
      <c r="K13" s="357">
        <f>IF(ISNUMBER((Tasas!E13-Datos!BG13)/Datos!BG13),(Tasas!E13-Datos!BG13)/Datos!BG13," - ")</f>
        <v>-5.2165834193219846E-3</v>
      </c>
      <c r="M13" t="e">
        <f>IF(Monitorios="SI",Datos!CE13,0)</f>
        <v>#REF!</v>
      </c>
      <c r="N13" t="e">
        <f>IF(Monitorios="SI",Datos!CF13,0)</f>
        <v>#REF!</v>
      </c>
      <c r="O13" t="e">
        <f>IF(Monitorios="SI",Datos!CG13,0)</f>
        <v>#REF!</v>
      </c>
      <c r="P13" t="e">
        <f>IF(Monitorios="SI",Datos!CH13,0)</f>
        <v>#REF!</v>
      </c>
      <c r="Q13">
        <f>IF(J_V="SI",0,Datos!AG13)</f>
        <v>195</v>
      </c>
      <c r="R13">
        <f>IF(J_V="SI",0,Datos!AH13)</f>
        <v>247</v>
      </c>
      <c r="S13">
        <f>IF(J_V="SI",0,Datos!AI13)</f>
        <v>227</v>
      </c>
      <c r="T13">
        <f>IF(J_V="SI",0,Datos!AJ13)</f>
        <v>215</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f>IF(ISNUMBER(
   IF(D_I="SI",(Datos!I15-Datos!S15)/Datos!S15,(Datos!I15+Datos!AC15-(Datos!S15+Datos!AK15))/(Datos!S15+Datos!AK15))
     ),IF(D_I="SI",(Datos!I15-Datos!S15)/Datos!S15,(Datos!I15+Datos!AC15-(Datos!S15+Datos!AK15))/(Datos!S15+Datos!AK15))," - ")</f>
        <v>-9.2432432432432432E-2</v>
      </c>
      <c r="E15" s="347">
        <f>IF(ISNUMBER(
   IF(D_I="SI",(Datos!J15-Datos!T15)/Datos!T15,(Datos!J15+Datos!AD15-(Datos!T15+Datos!AL15))/(Datos!T15+Datos!AL15))
     ),IF(D_I="SI",(Datos!J15-Datos!T15)/Datos!T15,(Datos!J15+Datos!AD15-(Datos!T15+Datos!AL15))/(Datos!T15+Datos!AL15))," - ")</f>
        <v>0.13752913752913754</v>
      </c>
      <c r="F15" s="347">
        <f>IF(ISNUMBER(
   IF(D_I="SI",(Datos!K15-Datos!U15)/Datos!U15,(Datos!K15+Datos!AE15-(Datos!U15+Datos!AM15))/(Datos!U15+Datos!AM15))
     ),IF(D_I="SI",(Datos!K15-Datos!U15)/Datos!U15,(Datos!K15+Datos!AE15-(Datos!U15+Datos!AM15))/(Datos!U15+Datos!AM15))," - ")</f>
        <v>0.14445007602635582</v>
      </c>
      <c r="G15" s="348">
        <f>IF(ISNUMBER(
   IF(D_I="SI",(Datos!L15-Datos!V15)/Datos!V15,(Datos!L15+Datos!AF15-(Datos!V15+Datos!AN15))/(Datos!V15+Datos!AN15))
     ),IF(D_I="SI",(Datos!L15-Datos!V15)/Datos!V15,(Datos!L15+Datos!AF15-(Datos!V15+Datos!AN15))/(Datos!V15+Datos!AN15))," - ")</f>
        <v>-9.0585241730279903E-2</v>
      </c>
      <c r="H15" s="229">
        <f>IF(ISNUMBER((Datos!M15-Datos!W15)/Datos!W15),(Datos!M15-Datos!W15)/Datos!W15," - ")</f>
        <v>-2.359882005899705E-2</v>
      </c>
      <c r="I15" s="349">
        <f>IF(ISNUMBER((Tasas!C15-Datos!BE15)/Datos!BE15),(Tasas!C15-Datos!BE15)/Datos!BE15," - ")</f>
        <v>-0.20536965541799929</v>
      </c>
      <c r="J15" s="348">
        <f>IF(ISNUMBER((Tasas!D15-Datos!BF15)/Datos!BF15),(Tasas!D15-Datos!BF15)/Datos!BF15," - ")</f>
        <v>-0.14683811867865423</v>
      </c>
      <c r="K15" s="350">
        <f>IF(ISNUMBER((Tasas!E15-Datos!BG15)/Datos!BG15),(Tasas!E15-Datos!BG15)/Datos!BG15," - ")</f>
        <v>-0.13324402694042509</v>
      </c>
    </row>
    <row r="16" spans="2:20" ht="14.25">
      <c r="B16" s="274" t="s">
        <v>396</v>
      </c>
      <c r="C16" s="7" t="str">
        <f>Datos!A16</f>
        <v xml:space="preserve">Jdos. 1ª Instª. e Instr./Secc. Civil y de Inst. TI                      </v>
      </c>
      <c r="D16" s="351" t="str">
        <f>IF(ISNUMBER(
   IF(D_I="SI",(Datos!I16-Datos!S16)/Datos!S16,(Datos!I16+Datos!AC16-(Datos!S16+Datos!AK16))/(Datos!S16+Datos!AK16))
     ),IF(D_I="SI",(Datos!I16-Datos!S16)/Datos!S16,(Datos!I16+Datos!AC16-(Datos!S16+Datos!AK16))/(Datos!S16+Datos!AK16))," - ")</f>
        <v xml:space="preserve"> - </v>
      </c>
      <c r="E16" s="347" t="str">
        <f>IF(ISNUMBER(
   IF(D_I="SI",(Datos!J16-Datos!T16)/Datos!T16,(Datos!J16+Datos!AD16-(Datos!T16+Datos!AL16))/(Datos!T16+Datos!AL16))
     ),IF(D_I="SI",(Datos!J16-Datos!T16)/Datos!T16,(Datos!J16+Datos!AD16-(Datos!T16+Datos!AL16))/(Datos!T16+Datos!AL16))," - ")</f>
        <v xml:space="preserve"> - </v>
      </c>
      <c r="F16" s="347"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22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-0.16298342541436464</v>
      </c>
      <c r="E17" s="347">
        <f>IF(ISNUMBER(
   IF(D_I="SI",(Datos!J17-Datos!T17)/Datos!T17,(Datos!J17+Datos!AD17-(Datos!T17+Datos!AL17))/(Datos!T17+Datos!AL17))
     ),IF(D_I="SI",(Datos!J17-Datos!T17)/Datos!T17,(Datos!J17+Datos!AD17-(Datos!T17+Datos!AL17))/(Datos!T17+Datos!AL17))," - ")</f>
        <v>6.6945606694560664E-2</v>
      </c>
      <c r="F17" s="347">
        <f>IF(ISNUMBER(
   IF(D_I="SI",(Datos!K17-Datos!U17)/Datos!U17,(Datos!K17+Datos!AE17-(Datos!U17+Datos!AM17))/(Datos!U17+Datos!AM17))
     ),IF(D_I="SI",(Datos!K17-Datos!U17)/Datos!U17,(Datos!K17+Datos!AE17-(Datos!U17+Datos!AM17))/(Datos!U17+Datos!AM17))," - ")</f>
        <v>-2.8037383177570093E-2</v>
      </c>
      <c r="G17" s="348">
        <f>IF(ISNUMBER(
   IF(D_I="SI",(Datos!L17-Datos!V17)/Datos!V17,(Datos!L17+Datos!AF17-(Datos!V17+Datos!AN17))/(Datos!V17+Datos!AN17))
     ),IF(D_I="SI",(Datos!L17-Datos!V17)/Datos!V17,(Datos!L17+Datos!AF17-(Datos!V17+Datos!AN17))/(Datos!V17+Datos!AN17))," - ")</f>
        <v>-9.5607235142118857E-2</v>
      </c>
      <c r="H17" s="229">
        <f>IF(ISNUMBER((Datos!M17-Datos!W17)/Datos!W17),(Datos!M17-Datos!W17)/Datos!W17," - ")</f>
        <v>-0.42307692307692307</v>
      </c>
      <c r="I17" s="349">
        <f>IF(ISNUMBER((Tasas!C17-Datos!BE17)/Datos!BE17),(Tasas!C17-Datos!BE17)/Datos!BE17," - ")</f>
        <v>-6.9518982309679941E-2</v>
      </c>
      <c r="J17" s="348">
        <f>IF(ISNUMBER((Tasas!D17-Datos!BF17)/Datos!BF17),(Tasas!D17-Datos!BF17)/Datos!BF17," - ")</f>
        <v>-0.40643491124260361</v>
      </c>
      <c r="K17" s="350">
        <f>IF(ISNUMBER((Tasas!E17-Datos!BG17)/Datos!BG17),(Tasas!E17-Datos!BG17)/Datos!BG17," - ")</f>
        <v>-4.4765135031358115E-2</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-9.8719842442146724E-2</v>
      </c>
      <c r="E18" s="353">
        <f>IF(ISNUMBER(
   IF(D_I="SI",(Datos!J18-Datos!T18)/Datos!T18,(Datos!J18+Datos!AD18-(Datos!T18+Datos!AL18))/(Datos!T18+Datos!AL18))
     ),IF(D_I="SI",(Datos!J18-Datos!T18)/Datos!T18,(Datos!J18+Datos!AD18-(Datos!T18+Datos!AL18))/(Datos!T18+Datos!AL18))," - ")</f>
        <v>0.13045302013422819</v>
      </c>
      <c r="F18" s="353">
        <f>IF(ISNUMBER(
   IF(D_I="SI",(Datos!K18-Datos!U18)/Datos!U18,(Datos!K18+Datos!AE18-(Datos!U18+Datos!AM18))/(Datos!U18+Datos!AM18))
     ),IF(D_I="SI",(Datos!K18-Datos!U18)/Datos!U18,(Datos!K18+Datos!AE18-(Datos!U18+Datos!AM18))/(Datos!U18+Datos!AM18))," - ")</f>
        <v>0.12757201646090535</v>
      </c>
      <c r="G18" s="354">
        <f>IF(ISNUMBER(
   IF(D_I="SI",(Datos!L18-Datos!V18)/Datos!V18,(Datos!L18+Datos!AF18-(Datos!V18+Datos!AN18))/(Datos!V18+Datos!AN18))
     ),IF(D_I="SI",(Datos!L18-Datos!V18)/Datos!V18,(Datos!L18+Datos!AF18-(Datos!V18+Datos!AN18))/(Datos!V18+Datos!AN18))," - ")</f>
        <v>-9.1035441278665738E-2</v>
      </c>
      <c r="H18" s="355">
        <f>IF(ISNUMBER((Datos!M18-Datos!W18)/Datos!W18),(Datos!M18-Datos!W18)/Datos!W18," - ")</f>
        <v>-5.2054794520547946E-2</v>
      </c>
      <c r="I18" s="356">
        <f>IF(ISNUMBER((Tasas!C18-Datos!BE18)/Datos!BE18),(Tasas!C18-Datos!BE18)/Datos!BE18," - ")</f>
        <v>-0.19387449719239327</v>
      </c>
      <c r="J18" s="354">
        <f>IF(ISNUMBER((Tasas!D18-Datos!BF18)/Datos!BF18),(Tasas!D18-Datos!BF18)/Datos!BF18," - ")</f>
        <v>-0.15930406959304064</v>
      </c>
      <c r="K18" s="357">
        <f>IF(ISNUMBER((Tasas!E18-Datos!BG18)/Datos!BG18),(Tasas!E18-Datos!BG18)/Datos!BG18," - ")</f>
        <v>-0.1255211742244951</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7.1519128943247079E-2</v>
      </c>
      <c r="E19" s="362">
        <f>IF(ISNUMBER(
   IF(J_V="SI",(Datos!J19-Datos!T19)/Datos!T19,(Datos!J19+Datos!Z19-(Datos!T19+Datos!AH19))/(Datos!T19+Datos!AH19))
     ),IF(J_V="SI",(Datos!J19-Datos!T19)/Datos!T19,(Datos!J19+Datos!Z19-(Datos!T19+Datos!AH19))/(Datos!T19+Datos!AH19))," - ")</f>
        <v>-6.0416245706203277E-2</v>
      </c>
      <c r="F19" s="362">
        <f>IF(ISNUMBER(
   IF(J_V="SI",(Datos!K19-Datos!U19)/Datos!U19,(Datos!K19+Datos!AA19-(Datos!U19+Datos!AI19))/(Datos!U19+Datos!AI19))
     ),IF(J_V="SI",(Datos!K19-Datos!U19)/Datos!U19,(Datos!K19+Datos!AA19-(Datos!U19+Datos!AI19))/(Datos!U19+Datos!AI19))," - ")</f>
        <v>9.5688748685594113E-2</v>
      </c>
      <c r="G19" s="363">
        <f>IF(ISNUMBER(
   IF(J_V="SI",(Datos!L19-Datos!V19)/Datos!V19,(Datos!L19+Datos!AB19-(Datos!V19+Datos!AJ19))/(Datos!V19+Datos!AJ19))
     ),IF(J_V="SI",(Datos!L19-Datos!V19)/Datos!V19,(Datos!L19+Datos!AB19-(Datos!V19+Datos!AJ19))/(Datos!V19+Datos!AJ19))," - ")</f>
        <v>1.4586234699113099E-2</v>
      </c>
      <c r="H19" s="364">
        <f>IF(ISNUMBER((Datos!M19-Datos!W19)/Datos!W19),(Datos!M19-Datos!W19)/Datos!W19," - ")</f>
        <v>-1.0367577756833177E-2</v>
      </c>
      <c r="I19" s="361">
        <f>IF(ISNUMBER((Tasas!C19-Datos!BE19)/Datos!BE19),(Tasas!C19-Datos!BE19)/Datos!BE19," - ")</f>
        <v>-7.4019664876337349E-2</v>
      </c>
      <c r="J19" s="362">
        <f>IF(ISNUMBER((Tasas!D19-Datos!BF19)/Datos!BF19),(Tasas!D19-Datos!BF19)/Datos!BF19," - ")</f>
        <v>-0.3203536570425124</v>
      </c>
      <c r="K19" s="363">
        <f>IF(ISNUMBER((Tasas!E19-Datos!BG19)/Datos!BG19),(Tasas!E19-Datos!BG19)/Datos!BG19," - ")</f>
        <v>-5.4520154596394636E-2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3.238328399438372E-2</v>
      </c>
      <c r="E21" s="277">
        <f t="shared" si="1"/>
        <v>0.33392864950287404</v>
      </c>
      <c r="F21" s="277">
        <f t="shared" si="1"/>
        <v>8.7643984598932523E-2</v>
      </c>
      <c r="G21" s="278">
        <f t="shared" si="1"/>
        <v>0.12381613419822794</v>
      </c>
      <c r="H21" s="284">
        <f t="shared" si="1"/>
        <v>0.52817282673814436</v>
      </c>
      <c r="I21" s="276">
        <f t="shared" si="1"/>
        <v>0.14023242029657584</v>
      </c>
      <c r="J21" s="277">
        <f t="shared" si="1"/>
        <v>0.62677749878454636</v>
      </c>
      <c r="K21" s="278">
        <f t="shared" si="1"/>
        <v>0.10417780171858311</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09 dic. 2025</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h025heQN7tzhalBbbs3rhW9WsVpXdO7o5rZn4p344AiOvekRe0LkoTTF8EXJG8UWfmk/ys1y7zNukvJgT65LzA==" saltValue="VtAR06qf95g9bZDNvVv5X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2025-12-09T21:20:16Z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